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_\Desktop\Fernando\MESTRADOS\Mestrado CFFE\CFFE 2019-2020\"/>
    </mc:Choice>
  </mc:AlternateContent>
  <xr:revisionPtr revIDLastSave="0" documentId="13_ncr:1_{FA284633-2BDA-4E42-8A47-636AE17760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nunciado" sheetId="1" r:id="rId1"/>
    <sheet name="Folha2" sheetId="2" r:id="rId2"/>
    <sheet name="Folh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C23" i="1" l="1"/>
  <c r="AX23" i="1"/>
  <c r="AK23" i="1" l="1"/>
  <c r="U23" i="1"/>
  <c r="S23" i="1"/>
  <c r="W34" i="1" l="1"/>
  <c r="AX54" i="1" l="1"/>
  <c r="AR54" i="1"/>
  <c r="AT45" i="1"/>
  <c r="AT44" i="1"/>
  <c r="AT43" i="1"/>
  <c r="AT42" i="1"/>
  <c r="AT34" i="1"/>
  <c r="AT38" i="1"/>
  <c r="AM14" i="1"/>
  <c r="BB28" i="1"/>
  <c r="B37" i="1"/>
  <c r="AU25" i="1" s="1"/>
  <c r="B33" i="1"/>
  <c r="AC23" i="1" l="1"/>
  <c r="AD23" i="1"/>
  <c r="AH20" i="1"/>
  <c r="AI20" i="1" s="1"/>
  <c r="AK20" i="1" s="1"/>
  <c r="AF25" i="1"/>
  <c r="AF22" i="1"/>
  <c r="AF21" i="1"/>
  <c r="T23" i="1"/>
  <c r="Q23" i="1"/>
  <c r="AG23" i="1" s="1"/>
  <c r="R23" i="1"/>
  <c r="O21" i="1"/>
  <c r="O25" i="1"/>
  <c r="BB25" i="1" s="1"/>
  <c r="BC25" i="1" s="1"/>
  <c r="Q24" i="1"/>
  <c r="R21" i="1"/>
  <c r="S21" i="1" s="1"/>
  <c r="R22" i="1"/>
  <c r="S22" i="1" s="1"/>
  <c r="O22" i="1"/>
  <c r="S20" i="1"/>
  <c r="U20" i="1" s="1"/>
  <c r="AM15" i="1"/>
  <c r="C35" i="1"/>
  <c r="F18" i="1"/>
  <c r="T25" i="1" s="1"/>
  <c r="F22" i="1"/>
  <c r="AJ25" i="1" s="1"/>
  <c r="W33" i="1" l="1"/>
  <c r="W36" i="1" s="1"/>
  <c r="AH22" i="1"/>
  <c r="BB22" i="1"/>
  <c r="AW27" i="1"/>
  <c r="BB27" i="1"/>
  <c r="S24" i="1"/>
  <c r="T24" i="1" s="1"/>
  <c r="BB24" i="1"/>
  <c r="AH23" i="1"/>
  <c r="BB23" i="1"/>
  <c r="AM16" i="1"/>
  <c r="T22" i="1"/>
  <c r="BB21" i="1"/>
  <c r="T27" i="1"/>
  <c r="AG24" i="1"/>
  <c r="AH21" i="1"/>
  <c r="T21" i="1"/>
  <c r="AW28" i="1"/>
  <c r="BC28" i="1" s="1"/>
  <c r="BC27" i="1" l="1"/>
  <c r="C37" i="1"/>
  <c r="B36" i="1"/>
  <c r="AW24" i="1" s="1"/>
  <c r="BC24" i="1" s="1"/>
  <c r="B35" i="1"/>
  <c r="B34" i="1"/>
  <c r="AW22" i="1" s="1"/>
  <c r="BC22" i="1" s="1"/>
  <c r="AW21" i="1"/>
  <c r="BC21" i="1" s="1"/>
  <c r="AW25" i="1" l="1"/>
  <c r="AX25" i="1" s="1"/>
  <c r="AI21" i="1"/>
  <c r="AJ21" i="1" s="1"/>
  <c r="AI22" i="1"/>
  <c r="AJ22" i="1" s="1"/>
  <c r="AI23" i="1" l="1"/>
  <c r="AJ23" i="1" s="1"/>
  <c r="AI24" i="1"/>
  <c r="AJ24" i="1" s="1"/>
  <c r="AX15" i="1"/>
  <c r="AK13" i="1"/>
  <c r="U13" i="1"/>
  <c r="R41" i="1" l="1"/>
  <c r="AU42" i="1" s="1"/>
  <c r="AW42" i="1" s="1"/>
  <c r="M14" i="1" l="1"/>
  <c r="N16" i="1"/>
  <c r="N15" i="1"/>
  <c r="L16" i="1"/>
  <c r="M16" i="1" l="1"/>
  <c r="AJ27" i="1"/>
  <c r="AJ26" i="1"/>
  <c r="AK26" i="1" s="1"/>
  <c r="AJ28" i="1"/>
  <c r="W27" i="1"/>
  <c r="AM27" i="1" s="1"/>
  <c r="AK27" i="1" s="1"/>
  <c r="U25" i="1"/>
  <c r="E8" i="1"/>
  <c r="T26" i="1"/>
  <c r="U26" i="1" l="1"/>
  <c r="U24" i="1"/>
  <c r="L6" i="1"/>
  <c r="L8" i="1" s="1"/>
  <c r="Z1" i="1" l="1"/>
  <c r="AQ1" i="1" s="1"/>
  <c r="N30" i="1" l="1"/>
  <c r="AM25" i="1"/>
  <c r="AK25" i="1" s="1"/>
  <c r="AM24" i="1"/>
  <c r="AK24" i="1" s="1"/>
  <c r="AM23" i="1"/>
  <c r="AM22" i="1"/>
  <c r="AK22" i="1" s="1"/>
  <c r="AM21" i="1"/>
  <c r="AK21" i="1" s="1"/>
  <c r="AU8" i="1" l="1"/>
  <c r="AW8" i="1"/>
  <c r="AS4" i="1"/>
  <c r="AS5" i="1"/>
  <c r="AW4" i="1"/>
  <c r="AT5" i="1"/>
  <c r="AT4" i="1"/>
  <c r="AX30" i="1"/>
  <c r="AX28" i="1"/>
  <c r="AV22" i="1"/>
  <c r="AV23" i="1" s="1"/>
  <c r="AU14" i="1"/>
  <c r="AS10" i="1"/>
  <c r="AX10" i="1" s="1"/>
  <c r="AH34" i="1"/>
  <c r="AH41" i="1"/>
  <c r="AK28" i="1"/>
  <c r="AB9" i="1"/>
  <c r="AK9" i="1" s="1"/>
  <c r="AJ43" i="1"/>
  <c r="AJ42" i="1"/>
  <c r="AK30" i="1"/>
  <c r="AS7" i="1"/>
  <c r="AS6" i="1"/>
  <c r="R43" i="1"/>
  <c r="AU44" i="1" s="1"/>
  <c r="AW44" i="1" s="1"/>
  <c r="T41" i="1"/>
  <c r="AN12" i="1"/>
  <c r="AM12" i="1" s="1"/>
  <c r="AM4" i="1"/>
  <c r="AM11" i="1" s="1"/>
  <c r="AG12" i="1"/>
  <c r="K48" i="1"/>
  <c r="U48" i="1" s="1"/>
  <c r="W6" i="1"/>
  <c r="W8" i="1" s="1"/>
  <c r="T6" i="1"/>
  <c r="U30" i="1"/>
  <c r="P13" i="1"/>
  <c r="P4" i="1"/>
  <c r="AJ41" i="1" l="1"/>
  <c r="AU45" i="1"/>
  <c r="AW45" i="1" s="1"/>
  <c r="AK34" i="1"/>
  <c r="AU34" i="1"/>
  <c r="AX34" i="1" s="1"/>
  <c r="T10" i="1"/>
  <c r="U6" i="1"/>
  <c r="R42" i="1"/>
  <c r="P10" i="1"/>
  <c r="R36" i="1" s="1"/>
  <c r="U36" i="1" s="1"/>
  <c r="N43" i="1"/>
  <c r="T43" i="1"/>
  <c r="U27" i="1"/>
  <c r="U22" i="1"/>
  <c r="AB8" i="1"/>
  <c r="AS8" i="1" s="1"/>
  <c r="AW6" i="1"/>
  <c r="AW11" i="1" s="1"/>
  <c r="R4" i="1"/>
  <c r="AH4" i="1"/>
  <c r="AK2" i="1" s="1"/>
  <c r="K36" i="1"/>
  <c r="AS9" i="1"/>
  <c r="AU4" i="1"/>
  <c r="AK43" i="1"/>
  <c r="AV24" i="1"/>
  <c r="AV25" i="1" s="1"/>
  <c r="AX22" i="1"/>
  <c r="AJ10" i="1"/>
  <c r="T42" i="1" l="1"/>
  <c r="AU43" i="1"/>
  <c r="AW43" i="1" s="1"/>
  <c r="AX45" i="1" s="1"/>
  <c r="AU11" i="1"/>
  <c r="AU38" i="1" s="1"/>
  <c r="AX38" i="1" s="1"/>
  <c r="AV27" i="1"/>
  <c r="AX27" i="1" s="1"/>
  <c r="U21" i="1"/>
  <c r="AX21" i="1"/>
  <c r="U43" i="1"/>
  <c r="AY45" i="1" s="1"/>
  <c r="AX6" i="1"/>
  <c r="U4" i="1"/>
  <c r="U2" i="1"/>
  <c r="AX2" i="1" s="1"/>
  <c r="R8" i="1"/>
  <c r="L10" i="1"/>
  <c r="AV4" i="1"/>
  <c r="AK4" i="1"/>
  <c r="AH8" i="1"/>
  <c r="AK8" i="1" s="1"/>
  <c r="AS11" i="1"/>
  <c r="AX24" i="1"/>
  <c r="AK29" i="1"/>
  <c r="AB10" i="1"/>
  <c r="AX4" i="1" l="1"/>
  <c r="AX8" i="1"/>
  <c r="AX11" i="1" s="1"/>
  <c r="R10" i="1"/>
  <c r="U10" i="1" s="1"/>
  <c r="U8" i="1"/>
  <c r="V10" i="1"/>
  <c r="AX29" i="1"/>
  <c r="AH10" i="1"/>
  <c r="AV8" i="1"/>
  <c r="AK10" i="1"/>
  <c r="AY11" i="1" l="1"/>
  <c r="AK12" i="1"/>
  <c r="U12" i="1"/>
  <c r="T29" i="1" s="1"/>
  <c r="AV11" i="1"/>
  <c r="AJ29" i="1" l="1"/>
  <c r="AK32" i="1" s="1"/>
  <c r="AI14" i="1"/>
  <c r="AK14" i="1" s="1"/>
  <c r="AK15" i="1" s="1"/>
  <c r="S14" i="1"/>
  <c r="U14" i="1" s="1"/>
  <c r="U15" i="1" s="1"/>
  <c r="AX14" i="1"/>
  <c r="AK36" i="1" l="1"/>
  <c r="AK50" i="1" s="1"/>
  <c r="AL50" i="1" s="1"/>
  <c r="AK45" i="1"/>
  <c r="AY17" i="1"/>
  <c r="AW29" i="1"/>
  <c r="AX32" i="1" s="1"/>
  <c r="AV16" i="1"/>
  <c r="AX16" i="1" s="1"/>
  <c r="AX17" i="1" s="1"/>
  <c r="AX36" i="1" l="1"/>
  <c r="AX40" i="1" s="1"/>
  <c r="AX56" i="1" s="1"/>
  <c r="AY56" i="1" s="1"/>
  <c r="AJ45" i="1"/>
  <c r="AZ48" i="1"/>
  <c r="AX49" i="1" l="1"/>
  <c r="AY50" i="1" l="1"/>
  <c r="AW49" i="1"/>
  <c r="U29" i="1"/>
  <c r="U32" i="1" s="1"/>
  <c r="U34" i="1" s="1"/>
  <c r="U38" i="1" s="1"/>
  <c r="U50" i="1" l="1"/>
  <c r="V50" i="1" s="1"/>
  <c r="U45" i="1"/>
  <c r="AZ47" i="1" l="1"/>
  <c r="AZ49" i="1" s="1"/>
  <c r="AY49" i="1" s="1"/>
  <c r="T45" i="1"/>
</calcChain>
</file>

<file path=xl/sharedStrings.xml><?xml version="1.0" encoding="utf-8"?>
<sst xmlns="http://schemas.openxmlformats.org/spreadsheetml/2006/main" count="288" uniqueCount="149">
  <si>
    <t>Despesa</t>
  </si>
  <si>
    <t>ANTÓNIO</t>
  </si>
  <si>
    <t>MARIA</t>
  </si>
  <si>
    <t>RITA</t>
  </si>
  <si>
    <t>Propinas e livros escolares</t>
  </si>
  <si>
    <t>Consultas médicas e medicamentos</t>
  </si>
  <si>
    <t>Amortização de capital empréstimo à habitação própria permanente</t>
  </si>
  <si>
    <t>Juros de empréstimo à habitação própria permanente</t>
  </si>
  <si>
    <t>Materiais escolares diversos</t>
  </si>
  <si>
    <t>Manutenção viatura ligeira de passageiros da família</t>
  </si>
  <si>
    <t>Combustível viatura ligeira de passageiros da família</t>
  </si>
  <si>
    <t>Compras de supermercado e lojas de vestuário</t>
  </si>
  <si>
    <t>Eletricidade, gás e água da habitação própria permanente</t>
  </si>
  <si>
    <t>Obras de manutenção da habitação própria permanente</t>
  </si>
  <si>
    <t>UNIVERSIDADE DE LISBOA</t>
  </si>
  <si>
    <t>INSTITUTO SUPERIOR DE ECONOMIA E GESTÃO</t>
  </si>
  <si>
    <t>CASO PRÁTICO I.R.S</t>
  </si>
  <si>
    <t>R. BRUTO</t>
  </si>
  <si>
    <t>A</t>
  </si>
  <si>
    <t>B</t>
  </si>
  <si>
    <t>E</t>
  </si>
  <si>
    <t>F</t>
  </si>
  <si>
    <t>G</t>
  </si>
  <si>
    <t>H</t>
  </si>
  <si>
    <t>D. ESPECÍFICAS</t>
  </si>
  <si>
    <t>R. COLETÁVEL</t>
  </si>
  <si>
    <t>TOTAL</t>
  </si>
  <si>
    <t>69º Q. FAMILIAR</t>
  </si>
  <si>
    <t>COLETA BRUTA</t>
  </si>
  <si>
    <t>DEDUÇÕES À COLETA</t>
  </si>
  <si>
    <t>78º A</t>
  </si>
  <si>
    <t>Dependentes + Ascendentes</t>
  </si>
  <si>
    <t>Despesas Gerais Familiares</t>
  </si>
  <si>
    <t>MÁX</t>
  </si>
  <si>
    <t>%</t>
  </si>
  <si>
    <t>78º B</t>
  </si>
  <si>
    <t>78º C</t>
  </si>
  <si>
    <t>Saúde</t>
  </si>
  <si>
    <t>Educação e Formação</t>
  </si>
  <si>
    <t>78º D</t>
  </si>
  <si>
    <t>A / M</t>
  </si>
  <si>
    <t>78º E</t>
  </si>
  <si>
    <t>Encargos c/ Imóveis</t>
  </si>
  <si>
    <t>MAJORAÇÕES</t>
  </si>
  <si>
    <t>83º A</t>
  </si>
  <si>
    <t>Pensões de Alimentos</t>
  </si>
  <si>
    <t>78º F</t>
  </si>
  <si>
    <t>Exigência de Fatura</t>
  </si>
  <si>
    <t>Despesas de restaurante e hotéis</t>
  </si>
  <si>
    <t>84º</t>
  </si>
  <si>
    <t>Encargos c/ Lares</t>
  </si>
  <si>
    <t>LIMITAÇÕES DAS DEDUÇÕES À COLETA: 78º - nº7</t>
  </si>
  <si>
    <t>78º k)</t>
  </si>
  <si>
    <t>Benefícios Fiscais</t>
  </si>
  <si>
    <t>PPR</t>
  </si>
  <si>
    <t>OK</t>
  </si>
  <si>
    <t>87º</t>
  </si>
  <si>
    <t>Pessoas c/ Deficiência</t>
  </si>
  <si>
    <t>TOTAL DEDUÇÕES EFETIVAS:</t>
  </si>
  <si>
    <t>DEDUÇÕES FINANCEIRAS</t>
  </si>
  <si>
    <t xml:space="preserve">99º c/ </t>
  </si>
  <si>
    <t>Tabela VIII</t>
  </si>
  <si>
    <t>56ºA</t>
  </si>
  <si>
    <t>Abatimentos</t>
  </si>
  <si>
    <t>VA -1988</t>
  </si>
  <si>
    <t>101º nº1 e)</t>
  </si>
  <si>
    <t>TRIBUTAÇÃO TAXAS ESPECIAIS</t>
  </si>
  <si>
    <t>TRIBUTAÇÃO TAXAS LIBERATÓRIAS</t>
  </si>
  <si>
    <t>Deduções B</t>
  </si>
  <si>
    <t>R. LÌQUIDO</t>
  </si>
  <si>
    <t>amortiz</t>
  </si>
  <si>
    <t>despesas auto</t>
  </si>
  <si>
    <t>serviços</t>
  </si>
  <si>
    <t>renda</t>
  </si>
  <si>
    <t>s.social</t>
  </si>
  <si>
    <t>d.represent.</t>
  </si>
  <si>
    <t>estadas</t>
  </si>
  <si>
    <t>simplificado</t>
  </si>
  <si>
    <t>TA</t>
  </si>
  <si>
    <t>comum</t>
  </si>
  <si>
    <t>individual</t>
  </si>
  <si>
    <t>despesa</t>
  </si>
  <si>
    <t>43º nº2</t>
  </si>
  <si>
    <t>17º EBF</t>
  </si>
  <si>
    <t>ñ-admissível</t>
  </si>
  <si>
    <t>101º nº1 b)</t>
  </si>
  <si>
    <t>TRIBUTAÇÃO AUTÓNOMA</t>
  </si>
  <si>
    <t>73º nº2 a)</t>
  </si>
  <si>
    <t>CASAL</t>
  </si>
  <si>
    <t>conferência</t>
  </si>
  <si>
    <t>António</t>
  </si>
  <si>
    <t>Maria</t>
  </si>
  <si>
    <t>VA -n</t>
  </si>
  <si>
    <t>VR -n</t>
  </si>
  <si>
    <t>dedução</t>
  </si>
  <si>
    <t>3º nº1 c)</t>
  </si>
  <si>
    <t>5º nº2 h)</t>
  </si>
  <si>
    <t>5º nº2 b)</t>
  </si>
  <si>
    <t>tx liberatória</t>
  </si>
  <si>
    <t>71º</t>
  </si>
  <si>
    <t>9º nº1 a)</t>
  </si>
  <si>
    <t>(50%)</t>
  </si>
  <si>
    <t>8º nº2 a)</t>
  </si>
  <si>
    <t>casal</t>
  </si>
  <si>
    <t>11º nº1 a)</t>
  </si>
  <si>
    <t>31º nº1 d)</t>
  </si>
  <si>
    <t>41º  nº1</t>
  </si>
  <si>
    <t>50º nº1</t>
  </si>
  <si>
    <t>53º nº1</t>
  </si>
  <si>
    <t>78º nº 9+11</t>
  </si>
  <si>
    <t>21º EBF nº10</t>
  </si>
  <si>
    <t>3º nº1 b)</t>
  </si>
  <si>
    <t>32º+33º</t>
  </si>
  <si>
    <t>20º nº2</t>
  </si>
  <si>
    <t>&lt;==</t>
  </si>
  <si>
    <t>M</t>
  </si>
  <si>
    <t>dependentes</t>
  </si>
  <si>
    <t>PPC</t>
  </si>
  <si>
    <t>Teste Englobamento E</t>
  </si>
  <si>
    <t>Tx Liberatória</t>
  </si>
  <si>
    <t>Englobando</t>
  </si>
  <si>
    <t>€7 091&lt; RENDIMENTO COLETÁVEL &lt; €80 640</t>
  </si>
  <si>
    <t>€ 1 000 + [(€ 2 500 - € 1 000) x [€80 640 - Rendimento Coletável]]/€ 80640 - € 7 091</t>
  </si>
  <si>
    <t>&gt; €80.640 = €1.000</t>
  </si>
  <si>
    <t>101º nº1 a) + 101º-D nº1 c)</t>
  </si>
  <si>
    <t>58ºEBF</t>
  </si>
  <si>
    <t>sse…</t>
  </si>
  <si>
    <t>tributação separada</t>
  </si>
  <si>
    <t>Mensalidade do lar do pai do António (que aufere uma pensão mensal de €620)</t>
  </si>
  <si>
    <t>Despesas Gerais</t>
  </si>
  <si>
    <t>Renda de quarto durante período escolar</t>
  </si>
  <si>
    <t>Refeições escolares</t>
  </si>
  <si>
    <t>nº13 -31º</t>
  </si>
  <si>
    <t>como</t>
  </si>
  <si>
    <t xml:space="preserve">aplica-se só os 75% </t>
  </si>
  <si>
    <t>NÃO</t>
  </si>
  <si>
    <t>(IVA)</t>
  </si>
  <si>
    <t>IVA</t>
  </si>
  <si>
    <t>cqd</t>
  </si>
  <si>
    <t>tx especial 72º</t>
  </si>
  <si>
    <t>TRIBUTAÇÃO EFETIVA TOTAL:</t>
  </si>
  <si>
    <t>COLETA RENDIMENTO ENGLOBADO:</t>
  </si>
  <si>
    <t>COLETA TOTAL:</t>
  </si>
  <si>
    <t>CONTABILIDADE</t>
  </si>
  <si>
    <t>Teste Limitações 78º nº 7:</t>
  </si>
  <si>
    <t>&lt;10%x85.000</t>
  </si>
  <si>
    <t>Mestrado CONTABILIDADE, FISCALIDADE E FINANÇAS EMPRESARIAIS</t>
  </si>
  <si>
    <t>2019/2020</t>
  </si>
  <si>
    <t>Port 362/2019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</si>
</sst>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0.0%"/>
    <numFmt numFmtId="166" formatCode="0.000%"/>
    <numFmt numFmtId="167" formatCode="0.000"/>
    <numFmt numFmtId="168" formatCode="#,##0.0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FF0000"/>
      <name val="Lucida Sans Unicode"/>
      <family val="2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Lucida Sans Unicode"/>
      <family val="2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0" applyNumberFormat="1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6" fillId="0" borderId="0" xfId="0" applyNumberFormat="1" applyFont="1"/>
    <xf numFmtId="0" fontId="7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0" xfId="0" applyNumberFormat="1"/>
    <xf numFmtId="9" fontId="0" fillId="0" borderId="0" xfId="1" applyFont="1"/>
    <xf numFmtId="10" fontId="0" fillId="0" borderId="0" xfId="1" applyNumberFormat="1" applyFont="1"/>
    <xf numFmtId="4" fontId="7" fillId="0" borderId="3" xfId="0" applyNumberFormat="1" applyFont="1" applyBorder="1"/>
    <xf numFmtId="4" fontId="0" fillId="0" borderId="3" xfId="0" applyNumberFormat="1" applyBorder="1"/>
    <xf numFmtId="164" fontId="10" fillId="0" borderId="1" xfId="0" applyNumberFormat="1" applyFont="1" applyBorder="1"/>
    <xf numFmtId="0" fontId="11" fillId="0" borderId="4" xfId="0" applyFont="1" applyBorder="1" applyAlignment="1">
      <alignment horizontal="center"/>
    </xf>
    <xf numFmtId="4" fontId="7" fillId="0" borderId="0" xfId="0" applyNumberFormat="1" applyFont="1"/>
    <xf numFmtId="0" fontId="0" fillId="0" borderId="0" xfId="0" applyAlignment="1">
      <alignment horizontal="right"/>
    </xf>
    <xf numFmtId="164" fontId="0" fillId="0" borderId="0" xfId="0" applyNumberFormat="1"/>
    <xf numFmtId="0" fontId="12" fillId="0" borderId="0" xfId="0" applyFont="1" applyAlignment="1">
      <alignment horizontal="center" readingOrder="1"/>
    </xf>
    <xf numFmtId="0" fontId="2" fillId="0" borderId="0" xfId="0" applyFont="1" applyAlignment="1">
      <alignment horizontal="center"/>
    </xf>
    <xf numFmtId="4" fontId="13" fillId="0" borderId="0" xfId="0" applyNumberFormat="1" applyFont="1"/>
    <xf numFmtId="4" fontId="0" fillId="0" borderId="0" xfId="0" applyNumberFormat="1" applyAlignment="1">
      <alignment horizontal="right"/>
    </xf>
    <xf numFmtId="4" fontId="16" fillId="0" borderId="0" xfId="0" applyNumberFormat="1" applyFont="1" applyAlignment="1">
      <alignment horizontal="right"/>
    </xf>
    <xf numFmtId="4" fontId="0" fillId="0" borderId="5" xfId="0" applyNumberFormat="1" applyBorder="1"/>
    <xf numFmtId="4" fontId="0" fillId="0" borderId="1" xfId="0" applyNumberFormat="1" applyBorder="1" applyAlignment="1">
      <alignment horizontal="center"/>
    </xf>
    <xf numFmtId="165" fontId="0" fillId="0" borderId="0" xfId="1" applyNumberFormat="1" applyFont="1"/>
    <xf numFmtId="4" fontId="0" fillId="0" borderId="2" xfId="0" applyNumberFormat="1" applyBorder="1"/>
    <xf numFmtId="0" fontId="0" fillId="0" borderId="0" xfId="0" applyAlignment="1">
      <alignment horizontal="left"/>
    </xf>
    <xf numFmtId="0" fontId="7" fillId="0" borderId="0" xfId="0" applyFont="1"/>
    <xf numFmtId="165" fontId="7" fillId="0" borderId="0" xfId="1" applyNumberFormat="1" applyFont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left"/>
    </xf>
    <xf numFmtId="9" fontId="0" fillId="0" borderId="0" xfId="0" applyNumberFormat="1"/>
    <xf numFmtId="4" fontId="0" fillId="0" borderId="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4" fontId="0" fillId="0" borderId="6" xfId="0" applyNumberFormat="1" applyBorder="1"/>
    <xf numFmtId="4" fontId="7" fillId="0" borderId="6" xfId="0" applyNumberFormat="1" applyFont="1" applyBorder="1"/>
    <xf numFmtId="0" fontId="1" fillId="0" borderId="0" xfId="0" applyFont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14" fillId="0" borderId="2" xfId="0" applyNumberFormat="1" applyFont="1" applyBorder="1" applyAlignment="1">
      <alignment horizontal="center" vertical="top"/>
    </xf>
    <xf numFmtId="4" fontId="7" fillId="0" borderId="0" xfId="0" applyNumberFormat="1" applyFont="1" applyAlignment="1">
      <alignment horizontal="center"/>
    </xf>
    <xf numFmtId="0" fontId="0" fillId="0" borderId="8" xfId="0" applyBorder="1"/>
    <xf numFmtId="164" fontId="2" fillId="0" borderId="8" xfId="0" applyNumberFormat="1" applyFon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7" xfId="0" applyFont="1" applyBorder="1" applyAlignment="1">
      <alignment horizontal="center" vertical="center"/>
    </xf>
    <xf numFmtId="0" fontId="0" fillId="0" borderId="7" xfId="0" applyBorder="1"/>
    <xf numFmtId="0" fontId="7" fillId="0" borderId="10" xfId="0" applyFont="1" applyBorder="1"/>
    <xf numFmtId="0" fontId="7" fillId="0" borderId="11" xfId="0" applyFont="1" applyBorder="1"/>
    <xf numFmtId="4" fontId="0" fillId="0" borderId="15" xfId="0" applyNumberFormat="1" applyBorder="1"/>
    <xf numFmtId="4" fontId="0" fillId="0" borderId="16" xfId="0" applyNumberFormat="1" applyBorder="1"/>
    <xf numFmtId="4" fontId="0" fillId="0" borderId="17" xfId="0" applyNumberFormat="1" applyBorder="1" applyAlignment="1">
      <alignment horizontal="center"/>
    </xf>
    <xf numFmtId="4" fontId="16" fillId="0" borderId="0" xfId="0" applyNumberFormat="1" applyFont="1" applyAlignment="1">
      <alignment horizontal="left"/>
    </xf>
    <xf numFmtId="49" fontId="0" fillId="0" borderId="0" xfId="1" applyNumberFormat="1" applyFont="1" applyAlignment="1">
      <alignment horizontal="center"/>
    </xf>
    <xf numFmtId="4" fontId="14" fillId="0" borderId="0" xfId="0" applyNumberFormat="1" applyFont="1" applyAlignment="1">
      <alignment horizontal="right"/>
    </xf>
    <xf numFmtId="4" fontId="6" fillId="0" borderId="15" xfId="0" applyNumberFormat="1" applyFont="1" applyBorder="1"/>
    <xf numFmtId="4" fontId="6" fillId="0" borderId="16" xfId="0" applyNumberFormat="1" applyFont="1" applyBorder="1"/>
    <xf numFmtId="0" fontId="0" fillId="0" borderId="16" xfId="0" applyBorder="1"/>
    <xf numFmtId="4" fontId="17" fillId="2" borderId="16" xfId="0" applyNumberFormat="1" applyFont="1" applyFill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3" fillId="0" borderId="15" xfId="0" applyNumberFormat="1" applyFont="1" applyBorder="1"/>
    <xf numFmtId="4" fontId="18" fillId="0" borderId="17" xfId="0" applyNumberFormat="1" applyFont="1" applyBorder="1" applyAlignment="1">
      <alignment horizontal="center"/>
    </xf>
    <xf numFmtId="4" fontId="19" fillId="0" borderId="0" xfId="0" applyNumberFormat="1" applyFont="1"/>
    <xf numFmtId="0" fontId="19" fillId="0" borderId="0" xfId="0" applyFont="1"/>
    <xf numFmtId="4" fontId="19" fillId="0" borderId="2" xfId="0" applyNumberFormat="1" applyFont="1" applyBorder="1" applyAlignment="1">
      <alignment horizontal="center"/>
    </xf>
    <xf numFmtId="4" fontId="20" fillId="2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center"/>
    </xf>
    <xf numFmtId="3" fontId="19" fillId="0" borderId="0" xfId="0" applyNumberFormat="1" applyFont="1"/>
    <xf numFmtId="4" fontId="19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center"/>
    </xf>
    <xf numFmtId="49" fontId="0" fillId="0" borderId="16" xfId="1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top"/>
    </xf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4" fillId="0" borderId="16" xfId="0" applyNumberFormat="1" applyFont="1" applyBorder="1"/>
    <xf numFmtId="4" fontId="0" fillId="0" borderId="0" xfId="1" applyNumberFormat="1" applyFont="1"/>
    <xf numFmtId="9" fontId="7" fillId="0" borderId="0" xfId="1" applyFont="1"/>
    <xf numFmtId="9" fontId="0" fillId="0" borderId="0" xfId="1" applyFont="1" applyAlignment="1">
      <alignment horizontal="right"/>
    </xf>
    <xf numFmtId="0" fontId="0" fillId="0" borderId="2" xfId="0" applyBorder="1"/>
    <xf numFmtId="0" fontId="14" fillId="0" borderId="2" xfId="0" applyFont="1" applyBorder="1"/>
    <xf numFmtId="4" fontId="14" fillId="0" borderId="0" xfId="0" applyNumberFormat="1" applyFont="1" applyAlignment="1">
      <alignment horizontal="center"/>
    </xf>
    <xf numFmtId="4" fontId="0" fillId="0" borderId="2" xfId="1" applyNumberFormat="1" applyFont="1" applyBorder="1"/>
    <xf numFmtId="9" fontId="0" fillId="0" borderId="0" xfId="1" applyFont="1" applyAlignment="1">
      <alignment horizontal="center"/>
    </xf>
    <xf numFmtId="165" fontId="0" fillId="0" borderId="0" xfId="1" applyNumberFormat="1" applyFont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0" fillId="0" borderId="1" xfId="0" applyNumberFormat="1" applyBorder="1"/>
    <xf numFmtId="4" fontId="17" fillId="2" borderId="18" xfId="0" applyNumberFormat="1" applyFont="1" applyFill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21" fillId="0" borderId="0" xfId="0" applyNumberFormat="1" applyFont="1" applyAlignment="1">
      <alignment horizontal="right"/>
    </xf>
    <xf numFmtId="9" fontId="0" fillId="0" borderId="0" xfId="1" applyFont="1" applyAlignment="1">
      <alignment horizontal="left"/>
    </xf>
    <xf numFmtId="4" fontId="0" fillId="0" borderId="16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166" fontId="0" fillId="0" borderId="0" xfId="1" applyNumberFormat="1" applyFont="1"/>
    <xf numFmtId="167" fontId="0" fillId="0" borderId="0" xfId="0" applyNumberFormat="1"/>
    <xf numFmtId="164" fontId="2" fillId="4" borderId="1" xfId="0" applyNumberFormat="1" applyFont="1" applyFill="1" applyBorder="1"/>
    <xf numFmtId="164" fontId="2" fillId="5" borderId="1" xfId="0" applyNumberFormat="1" applyFont="1" applyFill="1" applyBorder="1"/>
    <xf numFmtId="164" fontId="22" fillId="0" borderId="1" xfId="0" applyNumberFormat="1" applyFont="1" applyBorder="1"/>
    <xf numFmtId="0" fontId="9" fillId="0" borderId="0" xfId="0" applyFont="1" applyAlignment="1">
      <alignment horizontal="right"/>
    </xf>
    <xf numFmtId="164" fontId="10" fillId="0" borderId="0" xfId="0" applyNumberFormat="1" applyFont="1"/>
    <xf numFmtId="2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168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1" fontId="14" fillId="0" borderId="2" xfId="0" applyNumberFormat="1" applyFont="1" applyBorder="1"/>
    <xf numFmtId="4" fontId="15" fillId="0" borderId="0" xfId="0" applyNumberFormat="1" applyFont="1"/>
    <xf numFmtId="4" fontId="15" fillId="0" borderId="0" xfId="0" applyNumberFormat="1" applyFont="1" applyAlignment="1">
      <alignment horizontal="center"/>
    </xf>
    <xf numFmtId="4" fontId="13" fillId="0" borderId="16" xfId="0" applyNumberFormat="1" applyFont="1" applyBorder="1"/>
    <xf numFmtId="4" fontId="0" fillId="0" borderId="21" xfId="0" applyNumberFormat="1" applyBorder="1"/>
    <xf numFmtId="4" fontId="18" fillId="2" borderId="16" xfId="0" applyNumberFormat="1" applyFont="1" applyFill="1" applyBorder="1" applyAlignment="1">
      <alignment horizontal="right"/>
    </xf>
    <xf numFmtId="164" fontId="7" fillId="0" borderId="0" xfId="0" applyNumberFormat="1" applyFont="1"/>
    <xf numFmtId="0" fontId="7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4" fontId="14" fillId="0" borderId="0" xfId="0" applyNumberFormat="1" applyFont="1"/>
    <xf numFmtId="0" fontId="14" fillId="0" borderId="0" xfId="0" applyFont="1"/>
    <xf numFmtId="165" fontId="0" fillId="0" borderId="0" xfId="0" applyNumberFormat="1"/>
    <xf numFmtId="0" fontId="16" fillId="0" borderId="0" xfId="0" applyFont="1"/>
    <xf numFmtId="164" fontId="0" fillId="0" borderId="0" xfId="0" applyNumberFormat="1" applyFont="1"/>
    <xf numFmtId="4" fontId="8" fillId="0" borderId="0" xfId="1" applyNumberFormat="1" applyFont="1"/>
    <xf numFmtId="4" fontId="0" fillId="0" borderId="0" xfId="0" applyNumberFormat="1" applyFont="1"/>
    <xf numFmtId="2" fontId="0" fillId="0" borderId="0" xfId="0" applyNumberFormat="1"/>
    <xf numFmtId="0" fontId="15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73"/>
  <sheetViews>
    <sheetView tabSelected="1" topLeftCell="J1" workbookViewId="0">
      <selection activeCell="J32" sqref="J32"/>
    </sheetView>
  </sheetViews>
  <sheetFormatPr defaultRowHeight="15" x14ac:dyDescent="0.25"/>
  <cols>
    <col min="1" max="1" width="76" customWidth="1"/>
    <col min="2" max="6" width="12.7109375" customWidth="1"/>
    <col min="7" max="7" width="4.5703125" customWidth="1"/>
    <col min="8" max="8" width="3.7109375" customWidth="1"/>
    <col min="9" max="9" width="3.28515625" customWidth="1"/>
    <col min="10" max="10" width="14.7109375" customWidth="1"/>
    <col min="11" max="20" width="10.7109375" customWidth="1"/>
    <col min="21" max="22" width="11.28515625" customWidth="1"/>
    <col min="23" max="23" width="9.140625" customWidth="1"/>
    <col min="24" max="24" width="11.7109375" customWidth="1"/>
    <col min="25" max="25" width="2.85546875" style="48" customWidth="1"/>
    <col min="26" max="26" width="14.7109375" customWidth="1"/>
    <col min="27" max="36" width="10.7109375" customWidth="1"/>
    <col min="37" max="37" width="11.85546875" customWidth="1"/>
    <col min="38" max="38" width="13.7109375" customWidth="1"/>
    <col min="39" max="39" width="9.85546875" customWidth="1"/>
    <col min="40" max="40" width="9.7109375" customWidth="1"/>
    <col min="41" max="41" width="10" customWidth="1"/>
    <col min="42" max="42" width="3.42578125" style="48" customWidth="1"/>
    <col min="43" max="43" width="14.7109375" customWidth="1"/>
    <col min="44" max="46" width="10.7109375" customWidth="1"/>
    <col min="47" max="47" width="12.85546875" customWidth="1"/>
    <col min="48" max="49" width="10.7109375" customWidth="1"/>
    <col min="50" max="50" width="11.85546875" customWidth="1"/>
    <col min="51" max="51" width="13.7109375" customWidth="1"/>
    <col min="52" max="52" width="9.85546875" bestFit="1" customWidth="1"/>
    <col min="53" max="53" width="10.7109375" customWidth="1"/>
    <col min="54" max="54" width="9.42578125" bestFit="1" customWidth="1"/>
  </cols>
  <sheetData>
    <row r="1" spans="1:57" ht="16.5" thickBot="1" x14ac:dyDescent="0.3">
      <c r="A1" s="7" t="s">
        <v>14</v>
      </c>
      <c r="J1" s="1">
        <v>2019</v>
      </c>
      <c r="Z1" s="1">
        <f>+J1</f>
        <v>2019</v>
      </c>
      <c r="AQ1" s="1">
        <f>+Z1</f>
        <v>2019</v>
      </c>
    </row>
    <row r="2" spans="1:57" ht="19.5" thickBot="1" x14ac:dyDescent="0.35">
      <c r="A2" s="8" t="s">
        <v>15</v>
      </c>
      <c r="J2" s="23" t="s">
        <v>1</v>
      </c>
      <c r="U2" s="13">
        <f>SUM(L4:T5)</f>
        <v>76675</v>
      </c>
      <c r="V2" s="12"/>
      <c r="Z2" s="23" t="s">
        <v>2</v>
      </c>
      <c r="AK2" s="13">
        <f>SUM(AA4:AJ5)</f>
        <v>100375</v>
      </c>
      <c r="AQ2" s="23" t="s">
        <v>88</v>
      </c>
      <c r="AX2" s="13">
        <f>+AK2+U2</f>
        <v>177050</v>
      </c>
    </row>
    <row r="3" spans="1:57" x14ac:dyDescent="0.25">
      <c r="K3" s="15"/>
      <c r="L3" s="15" t="s">
        <v>19</v>
      </c>
      <c r="M3" s="15"/>
      <c r="N3" s="15" t="s">
        <v>20</v>
      </c>
      <c r="O3" s="15"/>
      <c r="P3" s="15" t="s">
        <v>21</v>
      </c>
      <c r="Q3" s="15"/>
      <c r="R3" s="15" t="s">
        <v>22</v>
      </c>
      <c r="S3" s="15"/>
      <c r="T3" s="15" t="s">
        <v>23</v>
      </c>
      <c r="U3" s="15" t="s">
        <v>26</v>
      </c>
      <c r="V3" s="11"/>
      <c r="W3" s="11" t="s">
        <v>22</v>
      </c>
      <c r="X3" s="11"/>
      <c r="AA3" s="15"/>
      <c r="AB3" s="15" t="s">
        <v>19</v>
      </c>
      <c r="AC3" s="15"/>
      <c r="AD3" s="15" t="s">
        <v>20</v>
      </c>
      <c r="AE3" s="15"/>
      <c r="AF3" s="15"/>
      <c r="AG3" s="15"/>
      <c r="AH3" s="15" t="s">
        <v>22</v>
      </c>
      <c r="AI3" s="15"/>
      <c r="AJ3" s="15" t="s">
        <v>23</v>
      </c>
      <c r="AK3" s="15" t="s">
        <v>26</v>
      </c>
      <c r="AL3" s="11"/>
      <c r="AM3" s="40" t="s">
        <v>68</v>
      </c>
      <c r="AN3" s="11"/>
      <c r="AR3" s="15" t="s">
        <v>18</v>
      </c>
      <c r="AS3" s="15" t="s">
        <v>19</v>
      </c>
      <c r="AT3" s="15" t="s">
        <v>20</v>
      </c>
      <c r="AU3" s="15" t="s">
        <v>21</v>
      </c>
      <c r="AV3" s="15" t="s">
        <v>22</v>
      </c>
      <c r="AW3" s="15" t="s">
        <v>23</v>
      </c>
      <c r="AX3" s="15" t="s">
        <v>26</v>
      </c>
      <c r="BA3" s="11"/>
    </row>
    <row r="4" spans="1:57" ht="15.75" x14ac:dyDescent="0.25">
      <c r="A4" s="7" t="s">
        <v>147</v>
      </c>
      <c r="J4" t="s">
        <v>17</v>
      </c>
      <c r="K4" s="30" t="s">
        <v>95</v>
      </c>
      <c r="L4" s="62">
        <v>15000</v>
      </c>
      <c r="M4" s="30" t="s">
        <v>96</v>
      </c>
      <c r="N4" s="68">
        <v>2000</v>
      </c>
      <c r="O4" s="81" t="s">
        <v>102</v>
      </c>
      <c r="P4" s="73">
        <f>900*12</f>
        <v>10800</v>
      </c>
      <c r="Q4" s="25" t="s">
        <v>100</v>
      </c>
      <c r="R4" s="62">
        <f>W8/2</f>
        <v>15375</v>
      </c>
      <c r="S4" s="30" t="s">
        <v>104</v>
      </c>
      <c r="T4" s="125">
        <v>26000</v>
      </c>
      <c r="U4" s="85">
        <f>+T4+R4+L4</f>
        <v>56375</v>
      </c>
      <c r="V4" s="25"/>
      <c r="W4" s="12">
        <v>5000</v>
      </c>
      <c r="X4" s="65" t="s">
        <v>64</v>
      </c>
      <c r="Z4" t="s">
        <v>17</v>
      </c>
      <c r="AA4" s="30" t="s">
        <v>111</v>
      </c>
      <c r="AB4" s="62">
        <v>85000</v>
      </c>
      <c r="AC4" s="12"/>
      <c r="AD4" s="14"/>
      <c r="AE4" s="14"/>
      <c r="AF4" s="14"/>
      <c r="AG4" s="25" t="s">
        <v>100</v>
      </c>
      <c r="AH4" s="62">
        <f>W8*0.5</f>
        <v>15375</v>
      </c>
      <c r="AI4" s="62"/>
      <c r="AJ4" s="85"/>
      <c r="AK4" s="62">
        <f>SUM(AA4:AJ4)</f>
        <v>100375</v>
      </c>
      <c r="AL4" s="31" t="s">
        <v>70</v>
      </c>
      <c r="AM4" s="12">
        <f>+AO4*AN4</f>
        <v>8000</v>
      </c>
      <c r="AN4" s="18">
        <v>0.25</v>
      </c>
      <c r="AO4" s="12">
        <v>32000</v>
      </c>
      <c r="AQ4" t="s">
        <v>17</v>
      </c>
      <c r="AR4" s="12"/>
      <c r="AS4" s="12">
        <f>+L4</f>
        <v>15000</v>
      </c>
      <c r="AT4" s="14">
        <f>+N4</f>
        <v>2000</v>
      </c>
      <c r="AU4" s="29">
        <f>+P4</f>
        <v>10800</v>
      </c>
      <c r="AV4" s="12">
        <f>+AH4+R4</f>
        <v>30750</v>
      </c>
      <c r="AW4" s="12">
        <f>+T4</f>
        <v>26000</v>
      </c>
      <c r="AX4" s="12">
        <f>+AK4+U4</f>
        <v>156750</v>
      </c>
    </row>
    <row r="5" spans="1:57" ht="18.75" customHeight="1" x14ac:dyDescent="0.25">
      <c r="A5" s="9" t="s">
        <v>146</v>
      </c>
      <c r="B5" s="26"/>
      <c r="K5" s="12"/>
      <c r="L5" s="63"/>
      <c r="M5" s="30" t="s">
        <v>97</v>
      </c>
      <c r="N5" s="69">
        <v>7500</v>
      </c>
      <c r="O5" s="75"/>
      <c r="P5" s="63"/>
      <c r="Q5" s="30" t="s">
        <v>103</v>
      </c>
      <c r="R5" s="83" t="s">
        <v>101</v>
      </c>
      <c r="S5" s="66"/>
      <c r="T5" s="12"/>
      <c r="U5" s="86"/>
      <c r="V5" s="25" t="s">
        <v>107</v>
      </c>
      <c r="W5" s="12">
        <v>2.85</v>
      </c>
      <c r="X5" s="65" t="s">
        <v>148</v>
      </c>
      <c r="AA5" s="12"/>
      <c r="AB5" s="63"/>
      <c r="AC5" s="12"/>
      <c r="AD5" s="14"/>
      <c r="AE5" s="14"/>
      <c r="AF5" s="14"/>
      <c r="AG5" s="30" t="s">
        <v>103</v>
      </c>
      <c r="AH5" s="83" t="s">
        <v>101</v>
      </c>
      <c r="AI5" s="83"/>
      <c r="AJ5" s="86"/>
      <c r="AK5" s="63"/>
      <c r="AL5" s="31" t="s">
        <v>71</v>
      </c>
      <c r="AM5" s="12">
        <v>4500</v>
      </c>
      <c r="AR5" s="12"/>
      <c r="AS5" s="12">
        <f>+AB4</f>
        <v>85000</v>
      </c>
      <c r="AT5" s="14">
        <f>+N5</f>
        <v>7500</v>
      </c>
      <c r="AU5" s="12"/>
      <c r="AV5" s="12"/>
      <c r="AW5" s="12"/>
      <c r="AX5" s="12"/>
    </row>
    <row r="6" spans="1:57" ht="15.75" x14ac:dyDescent="0.25">
      <c r="A6" s="9"/>
      <c r="B6" s="26"/>
      <c r="J6" t="s">
        <v>63</v>
      </c>
      <c r="K6" s="30" t="s">
        <v>62</v>
      </c>
      <c r="L6" s="63">
        <f>IF(L4*0.15&lt;2500,-L4*0.15,-2500)</f>
        <v>-2250</v>
      </c>
      <c r="M6" s="12"/>
      <c r="N6" s="70"/>
      <c r="O6" s="76"/>
      <c r="P6" s="63"/>
      <c r="Q6" s="12"/>
      <c r="R6" s="63"/>
      <c r="S6" s="67" t="s">
        <v>62</v>
      </c>
      <c r="T6" s="12">
        <f>IF(T4*0.1&lt;2500,-T4*0.1,-2500)</f>
        <v>-2500</v>
      </c>
      <c r="U6" s="86">
        <f>+T6+R6+L6</f>
        <v>-4750</v>
      </c>
      <c r="W6" s="12">
        <f>+W4*W5</f>
        <v>14250</v>
      </c>
      <c r="X6" s="65" t="s">
        <v>92</v>
      </c>
      <c r="Z6" t="s">
        <v>63</v>
      </c>
      <c r="AA6" s="12"/>
      <c r="AB6" s="63"/>
      <c r="AC6" s="12"/>
      <c r="AD6" s="12"/>
      <c r="AE6" s="12"/>
      <c r="AF6" s="12"/>
      <c r="AG6" s="12"/>
      <c r="AH6" s="63"/>
      <c r="AI6" s="63"/>
      <c r="AJ6" s="86"/>
      <c r="AK6" s="91"/>
      <c r="AL6" s="31" t="s">
        <v>72</v>
      </c>
      <c r="AM6" s="12">
        <v>12000</v>
      </c>
      <c r="AQ6" t="s">
        <v>63</v>
      </c>
      <c r="AR6" s="12"/>
      <c r="AS6" s="12">
        <f>+L6</f>
        <v>-2250</v>
      </c>
      <c r="AT6" s="12"/>
      <c r="AU6" s="12"/>
      <c r="AV6" s="12"/>
      <c r="AW6" s="12">
        <f>+T6</f>
        <v>-2500</v>
      </c>
      <c r="AX6" s="12">
        <f>SUM(AR6:AW6)</f>
        <v>-4750</v>
      </c>
      <c r="AY6" s="12"/>
    </row>
    <row r="7" spans="1:57" ht="23.25" x14ac:dyDescent="0.35">
      <c r="A7" s="10" t="s">
        <v>16</v>
      </c>
      <c r="B7" s="26"/>
      <c r="K7" s="106" t="s">
        <v>125</v>
      </c>
      <c r="L7" s="108" t="s">
        <v>126</v>
      </c>
      <c r="M7" s="12"/>
      <c r="N7" s="70"/>
      <c r="O7" s="76"/>
      <c r="P7" s="63"/>
      <c r="Q7" s="12"/>
      <c r="R7" s="63"/>
      <c r="S7" s="12"/>
      <c r="T7" s="12"/>
      <c r="U7" s="86"/>
      <c r="W7" s="12">
        <v>45000</v>
      </c>
      <c r="X7" s="65" t="s">
        <v>93</v>
      </c>
      <c r="AA7" s="12"/>
      <c r="AB7" s="63"/>
      <c r="AC7" s="12"/>
      <c r="AD7" s="12"/>
      <c r="AE7" s="12"/>
      <c r="AF7" s="12"/>
      <c r="AG7" s="12"/>
      <c r="AH7" s="63"/>
      <c r="AI7" s="63"/>
      <c r="AJ7" s="86"/>
      <c r="AK7" s="63"/>
      <c r="AL7" s="31" t="s">
        <v>73</v>
      </c>
      <c r="AM7" s="12">
        <v>3600</v>
      </c>
      <c r="AR7" s="12"/>
      <c r="AS7" s="12" t="str">
        <f>+L7</f>
        <v>sse…</v>
      </c>
      <c r="AT7" s="12"/>
      <c r="AU7" s="12"/>
      <c r="AV7" s="12"/>
      <c r="AW7" s="12"/>
      <c r="AX7" s="12"/>
    </row>
    <row r="8" spans="1:57" ht="15.75" thickBot="1" x14ac:dyDescent="0.3">
      <c r="E8" s="26">
        <f>SUM(E10:E31)</f>
        <v>5270</v>
      </c>
      <c r="J8" t="s">
        <v>24</v>
      </c>
      <c r="K8" s="30" t="s">
        <v>105</v>
      </c>
      <c r="L8" s="63">
        <f>-SUM(L4:L7)*K9</f>
        <v>-637.5</v>
      </c>
      <c r="M8" s="12"/>
      <c r="N8" s="63"/>
      <c r="O8" s="81" t="s">
        <v>106</v>
      </c>
      <c r="P8" s="63">
        <v>-340</v>
      </c>
      <c r="Q8" s="30" t="s">
        <v>82</v>
      </c>
      <c r="R8" s="63">
        <f>-R4*0.5</f>
        <v>-7687.5</v>
      </c>
      <c r="S8" s="30" t="s">
        <v>108</v>
      </c>
      <c r="T8" s="12">
        <v>-4104</v>
      </c>
      <c r="U8" s="86">
        <f>+T8+R8+L8</f>
        <v>-12429</v>
      </c>
      <c r="V8" s="12"/>
      <c r="W8" s="32">
        <f>+W7-W6</f>
        <v>30750</v>
      </c>
      <c r="X8" s="1"/>
      <c r="Z8" t="s">
        <v>24</v>
      </c>
      <c r="AA8" s="30" t="s">
        <v>112</v>
      </c>
      <c r="AB8" s="89">
        <f>IF(AM11&gt;AM12,-AM11,-AM12)</f>
        <v>-33100</v>
      </c>
      <c r="AC8" s="30"/>
      <c r="AD8" s="12"/>
      <c r="AE8" s="12"/>
      <c r="AF8" s="12"/>
      <c r="AG8" s="30" t="s">
        <v>82</v>
      </c>
      <c r="AH8" s="63">
        <f>-AH4*0.5</f>
        <v>-7687.5</v>
      </c>
      <c r="AI8" s="63"/>
      <c r="AJ8" s="86"/>
      <c r="AK8" s="63">
        <f>SUM(AA8:AJ8)</f>
        <v>-40787.5</v>
      </c>
      <c r="AL8" s="30" t="s">
        <v>74</v>
      </c>
      <c r="AM8" s="12">
        <v>3000</v>
      </c>
      <c r="AN8" s="39">
        <v>3000</v>
      </c>
      <c r="AO8" s="39" t="s">
        <v>145</v>
      </c>
      <c r="AQ8" t="s">
        <v>24</v>
      </c>
      <c r="AR8" s="12"/>
      <c r="AS8" s="30">
        <f>+AB8</f>
        <v>-33100</v>
      </c>
      <c r="AT8" s="12"/>
      <c r="AU8" s="12">
        <f>+P8</f>
        <v>-340</v>
      </c>
      <c r="AV8" s="12">
        <f>-AV4*0.5</f>
        <v>-15375</v>
      </c>
      <c r="AW8" s="12">
        <f>+T8</f>
        <v>-4104</v>
      </c>
      <c r="AX8" s="12">
        <f>+AK8+U8</f>
        <v>-53216.5</v>
      </c>
      <c r="AY8" s="12"/>
    </row>
    <row r="9" spans="1:57" s="1" customFormat="1" ht="16.5" thickTop="1" x14ac:dyDescent="0.25">
      <c r="A9" s="4" t="s">
        <v>0</v>
      </c>
      <c r="B9" s="4" t="s">
        <v>1</v>
      </c>
      <c r="C9" s="4" t="s">
        <v>2</v>
      </c>
      <c r="D9" s="4" t="s">
        <v>40</v>
      </c>
      <c r="E9" s="4" t="s">
        <v>3</v>
      </c>
      <c r="F9" s="4" t="s">
        <v>26</v>
      </c>
      <c r="K9" s="109">
        <v>0.05</v>
      </c>
      <c r="L9" s="64"/>
      <c r="M9" s="16"/>
      <c r="N9" s="64"/>
      <c r="O9" s="77"/>
      <c r="P9" s="64"/>
      <c r="Q9" s="16"/>
      <c r="R9" s="84"/>
      <c r="S9" s="50"/>
      <c r="T9" s="64"/>
      <c r="U9" s="87"/>
      <c r="V9" s="13"/>
      <c r="W9" s="13"/>
      <c r="X9" s="36"/>
      <c r="Y9" s="49"/>
      <c r="Z9" s="36" t="s">
        <v>69</v>
      </c>
      <c r="AA9" s="42" t="s">
        <v>113</v>
      </c>
      <c r="AB9" s="90">
        <f>80000*0.25</f>
        <v>20000</v>
      </c>
      <c r="AC9" s="42"/>
      <c r="AD9" s="16"/>
      <c r="AE9" s="16"/>
      <c r="AF9" s="16"/>
      <c r="AG9" s="16"/>
      <c r="AH9" s="64"/>
      <c r="AI9" s="64"/>
      <c r="AJ9" s="87"/>
      <c r="AK9" s="90">
        <f>SUM(AA9:AJ9)</f>
        <v>20000</v>
      </c>
      <c r="AL9" s="30" t="s">
        <v>75</v>
      </c>
      <c r="AM9" s="12">
        <v>500</v>
      </c>
      <c r="AN9" s="43">
        <v>0.1</v>
      </c>
      <c r="AO9" s="36" t="s">
        <v>78</v>
      </c>
      <c r="AP9" s="49"/>
      <c r="AS9" s="30">
        <f>+L8</f>
        <v>-637.5</v>
      </c>
      <c r="AZ9"/>
      <c r="BB9"/>
      <c r="BC9"/>
      <c r="BD9"/>
      <c r="BE9"/>
    </row>
    <row r="10" spans="1:57" ht="15.75" x14ac:dyDescent="0.25">
      <c r="A10" s="5" t="s">
        <v>4</v>
      </c>
      <c r="B10" s="6"/>
      <c r="C10" s="6"/>
      <c r="D10" s="6"/>
      <c r="E10" s="6">
        <v>1300</v>
      </c>
      <c r="F10" s="22"/>
      <c r="J10" t="s">
        <v>25</v>
      </c>
      <c r="K10" s="12"/>
      <c r="L10" s="63">
        <f>SUM(L4:L9)</f>
        <v>12112.5</v>
      </c>
      <c r="M10" s="12"/>
      <c r="N10" s="71" t="s">
        <v>98</v>
      </c>
      <c r="O10" s="82"/>
      <c r="P10" s="124">
        <f t="shared" ref="P10:T10" si="0">SUM(P4:P9)</f>
        <v>10460</v>
      </c>
      <c r="Q10" s="82"/>
      <c r="R10" s="63">
        <f t="shared" si="0"/>
        <v>7687.5</v>
      </c>
      <c r="S10" s="12"/>
      <c r="T10" s="63">
        <f t="shared" si="0"/>
        <v>19396</v>
      </c>
      <c r="U10" s="86">
        <f>SUM(K10:T10)-P10</f>
        <v>39196</v>
      </c>
      <c r="V10" s="12">
        <f>SUM(U4:U9)</f>
        <v>39196</v>
      </c>
      <c r="W10" s="12" t="s">
        <v>138</v>
      </c>
      <c r="Z10" t="s">
        <v>25</v>
      </c>
      <c r="AA10" s="12"/>
      <c r="AB10" s="63">
        <f>SUM(AB4:AB9)</f>
        <v>71900</v>
      </c>
      <c r="AC10" s="12"/>
      <c r="AD10" s="12"/>
      <c r="AE10" s="12"/>
      <c r="AF10" s="12"/>
      <c r="AG10" s="12"/>
      <c r="AH10" s="63">
        <f t="shared" ref="AH10:AJ10" si="1">SUM(AH4:AH9)</f>
        <v>7687.5</v>
      </c>
      <c r="AI10" s="63"/>
      <c r="AJ10" s="86">
        <f t="shared" si="1"/>
        <v>0</v>
      </c>
      <c r="AK10" s="63">
        <f>SUM(AK4:AK9)</f>
        <v>79587.5</v>
      </c>
      <c r="AL10" s="30" t="s">
        <v>76</v>
      </c>
      <c r="AM10" s="12">
        <v>1500</v>
      </c>
      <c r="AQ10" s="36" t="s">
        <v>69</v>
      </c>
      <c r="AR10" s="16"/>
      <c r="AS10" s="42">
        <f>80000*0.25</f>
        <v>20000</v>
      </c>
      <c r="AT10" s="16"/>
      <c r="AU10" s="16"/>
      <c r="AV10" s="16"/>
      <c r="AW10" s="16"/>
      <c r="AX10" s="42">
        <f>SUM(AR10:AW10)</f>
        <v>20000</v>
      </c>
    </row>
    <row r="11" spans="1:57" ht="15.75" x14ac:dyDescent="0.25">
      <c r="A11" s="5" t="s">
        <v>131</v>
      </c>
      <c r="B11" s="6"/>
      <c r="C11" s="6"/>
      <c r="D11" s="6"/>
      <c r="E11" s="6">
        <v>400</v>
      </c>
      <c r="F11" s="22"/>
      <c r="K11" s="12"/>
      <c r="L11" s="63"/>
      <c r="M11" s="12"/>
      <c r="N11" s="72" t="s">
        <v>99</v>
      </c>
      <c r="O11" s="78"/>
      <c r="P11" s="126" t="s">
        <v>139</v>
      </c>
      <c r="Q11" s="82"/>
      <c r="R11" s="63"/>
      <c r="S11" s="12"/>
      <c r="T11" s="63"/>
      <c r="U11" s="86"/>
      <c r="V11" s="12"/>
      <c r="W11" s="12"/>
      <c r="AA11" s="12"/>
      <c r="AB11" s="63"/>
      <c r="AC11" s="12"/>
      <c r="AD11" s="12"/>
      <c r="AE11" s="12"/>
      <c r="AF11" s="12"/>
      <c r="AG11" s="12"/>
      <c r="AH11" s="63"/>
      <c r="AI11" s="63"/>
      <c r="AJ11" s="86"/>
      <c r="AK11" s="63"/>
      <c r="AL11" s="129" t="s">
        <v>143</v>
      </c>
      <c r="AM11" s="125">
        <f>SUM(AM4:AM10)</f>
        <v>33100</v>
      </c>
      <c r="AN11" t="s">
        <v>114</v>
      </c>
      <c r="AQ11" t="s">
        <v>25</v>
      </c>
      <c r="AR11" s="12"/>
      <c r="AS11" s="12">
        <f>SUM(AS4:AS10)</f>
        <v>84012.5</v>
      </c>
      <c r="AT11" s="104" t="s">
        <v>98</v>
      </c>
      <c r="AU11" s="12">
        <f>SUM(AU4:AU10)</f>
        <v>10460</v>
      </c>
      <c r="AV11" s="12">
        <f>SUM(AV4:AV10)</f>
        <v>15375</v>
      </c>
      <c r="AW11" s="12">
        <f>SUM(AW4:AW10)</f>
        <v>19396</v>
      </c>
      <c r="AX11" s="12">
        <f>SUM(AX4:AX10)</f>
        <v>118783.5</v>
      </c>
      <c r="AY11" s="122">
        <f>+AK10+U10</f>
        <v>118783.5</v>
      </c>
    </row>
    <row r="12" spans="1:57" ht="16.5" thickBot="1" x14ac:dyDescent="0.3">
      <c r="A12" s="5" t="s">
        <v>8</v>
      </c>
      <c r="B12" s="6"/>
      <c r="C12" s="6"/>
      <c r="D12" s="6"/>
      <c r="E12" s="112">
        <v>150</v>
      </c>
      <c r="F12" s="22"/>
      <c r="O12" s="79"/>
      <c r="P12" s="74"/>
      <c r="Q12" s="13"/>
      <c r="R12" s="12"/>
      <c r="S12" s="12"/>
      <c r="T12" s="12"/>
      <c r="U12" s="45">
        <f>ROUND(U10/P13,2)</f>
        <v>39196</v>
      </c>
      <c r="V12" s="12"/>
      <c r="W12" s="12"/>
      <c r="Z12" t="s">
        <v>27</v>
      </c>
      <c r="AA12" s="17">
        <v>1</v>
      </c>
      <c r="AB12" s="12">
        <v>0</v>
      </c>
      <c r="AC12" s="12"/>
      <c r="AD12" s="17">
        <v>1</v>
      </c>
      <c r="AE12" s="17"/>
      <c r="AF12" s="17"/>
      <c r="AG12" s="33">
        <f>+AA12+(AB12*AD12)</f>
        <v>1</v>
      </c>
      <c r="AH12" s="12"/>
      <c r="AI12" s="12"/>
      <c r="AJ12" s="12"/>
      <c r="AK12" s="45">
        <f>ROUND(AK10/AG12,2)</f>
        <v>79587.5</v>
      </c>
      <c r="AL12" s="30" t="s">
        <v>77</v>
      </c>
      <c r="AM12" s="21">
        <f>AB4*AN12</f>
        <v>21250</v>
      </c>
      <c r="AN12" s="41">
        <f>+AN4</f>
        <v>0.25</v>
      </c>
      <c r="AO12" t="s">
        <v>94</v>
      </c>
      <c r="AR12" s="12"/>
      <c r="AS12" s="12"/>
      <c r="AT12" s="105" t="s">
        <v>99</v>
      </c>
      <c r="AU12" s="126" t="s">
        <v>139</v>
      </c>
      <c r="AV12" s="12"/>
      <c r="AW12" s="12"/>
      <c r="AX12" s="12"/>
    </row>
    <row r="13" spans="1:57" ht="16.5" thickTop="1" x14ac:dyDescent="0.25">
      <c r="A13" s="5" t="s">
        <v>5</v>
      </c>
      <c r="B13" s="6">
        <v>3700</v>
      </c>
      <c r="C13" s="6">
        <v>690</v>
      </c>
      <c r="D13" s="6"/>
      <c r="E13" s="6">
        <v>560</v>
      </c>
      <c r="F13" s="22"/>
      <c r="J13" t="s">
        <v>27</v>
      </c>
      <c r="K13" s="17">
        <v>1</v>
      </c>
      <c r="L13" s="12"/>
      <c r="M13" s="12"/>
      <c r="N13" s="17">
        <v>1</v>
      </c>
      <c r="O13" s="80"/>
      <c r="P13" s="33">
        <f>+K13+(L13*N13)</f>
        <v>1</v>
      </c>
      <c r="Q13" s="12"/>
      <c r="R13" s="12"/>
      <c r="S13" s="12">
        <v>36856</v>
      </c>
      <c r="T13" s="110">
        <v>0.28838000000000003</v>
      </c>
      <c r="U13" s="12">
        <f>ROUND(T13*S13,2)</f>
        <v>10628.53</v>
      </c>
      <c r="V13" s="12"/>
      <c r="W13" s="12"/>
      <c r="AA13" s="12"/>
      <c r="AB13" s="12"/>
      <c r="AC13" s="12"/>
      <c r="AD13" s="12"/>
      <c r="AE13" s="12"/>
      <c r="AF13" s="12"/>
      <c r="AG13" s="12"/>
      <c r="AH13" s="12"/>
      <c r="AI13" s="12">
        <v>36856</v>
      </c>
      <c r="AJ13" s="110">
        <v>0.28838000000000003</v>
      </c>
      <c r="AK13" s="12">
        <f>ROUND(AJ13*AI13,2)</f>
        <v>10628.53</v>
      </c>
      <c r="AL13" s="30"/>
      <c r="AM13" s="12"/>
      <c r="AN13" s="41"/>
    </row>
    <row r="14" spans="1:57" ht="16.5" thickBot="1" x14ac:dyDescent="0.3">
      <c r="A14" s="5" t="s">
        <v>128</v>
      </c>
      <c r="B14" s="6">
        <v>900</v>
      </c>
      <c r="C14" s="6"/>
      <c r="D14" s="6"/>
      <c r="E14" s="6"/>
      <c r="F14" s="22"/>
      <c r="K14" s="12"/>
      <c r="L14" s="99">
        <v>0.28000000000000003</v>
      </c>
      <c r="M14" s="100">
        <f>+T14</f>
        <v>0.45</v>
      </c>
      <c r="N14" s="12"/>
      <c r="O14" s="12"/>
      <c r="P14" s="12"/>
      <c r="Q14" s="12"/>
      <c r="R14" s="12"/>
      <c r="S14" s="12">
        <f>+U12-S13</f>
        <v>2340</v>
      </c>
      <c r="T14" s="19">
        <v>0.45</v>
      </c>
      <c r="U14" s="12">
        <f>ROUND(T14*S14,2)</f>
        <v>1053</v>
      </c>
      <c r="V14" s="12"/>
      <c r="W14" s="12"/>
      <c r="AA14" s="12"/>
      <c r="AB14" s="12"/>
      <c r="AC14" s="12"/>
      <c r="AD14" s="12"/>
      <c r="AE14" s="12"/>
      <c r="AF14" s="12"/>
      <c r="AG14" s="12"/>
      <c r="AH14" s="12"/>
      <c r="AI14" s="12">
        <f>+AK12-AI13</f>
        <v>42731.5</v>
      </c>
      <c r="AJ14" s="19">
        <v>0.45</v>
      </c>
      <c r="AK14" s="12">
        <f>ROUND(AJ14*AI14,2)</f>
        <v>19229.18</v>
      </c>
      <c r="AL14" s="12"/>
      <c r="AM14" s="12">
        <f>+AM5+AM6+AM7+AM9+AM10+AO14</f>
        <v>26204</v>
      </c>
      <c r="AN14" t="s">
        <v>132</v>
      </c>
      <c r="AO14" s="36">
        <v>4104</v>
      </c>
      <c r="AQ14" t="s">
        <v>27</v>
      </c>
      <c r="AR14" s="17">
        <v>2</v>
      </c>
      <c r="AS14" s="12">
        <v>0</v>
      </c>
      <c r="AT14" s="17">
        <v>1</v>
      </c>
      <c r="AU14" s="33">
        <f>+AR14+(AS14*AT14)</f>
        <v>2</v>
      </c>
      <c r="AV14" s="12"/>
      <c r="AW14" s="12"/>
      <c r="AX14" s="45">
        <f>ROUND(AX11/AU14,2)</f>
        <v>59391.75</v>
      </c>
    </row>
    <row r="15" spans="1:57" ht="17.25" thickTop="1" thickBot="1" x14ac:dyDescent="0.3">
      <c r="A15" s="5" t="s">
        <v>6</v>
      </c>
      <c r="B15" s="6"/>
      <c r="C15" s="6"/>
      <c r="D15" s="6">
        <v>7200</v>
      </c>
      <c r="E15" s="6"/>
      <c r="F15" s="22"/>
      <c r="L15" s="101" t="s">
        <v>119</v>
      </c>
      <c r="M15" s="101" t="s">
        <v>120</v>
      </c>
      <c r="N15" s="12">
        <f>+N4*O15</f>
        <v>1000</v>
      </c>
      <c r="O15" s="107">
        <v>0.5</v>
      </c>
      <c r="Q15" s="12"/>
      <c r="R15" s="12"/>
      <c r="S15" s="12"/>
      <c r="T15" s="25" t="s">
        <v>28</v>
      </c>
      <c r="U15" s="20">
        <f>SUM(U13:U14)</f>
        <v>11681.53</v>
      </c>
      <c r="V15" s="12"/>
      <c r="W15" s="12"/>
      <c r="AA15" s="12"/>
      <c r="AB15" s="12"/>
      <c r="AC15" s="12"/>
      <c r="AD15" s="12"/>
      <c r="AE15" s="12"/>
      <c r="AF15" s="12"/>
      <c r="AG15" s="12"/>
      <c r="AH15" s="12"/>
      <c r="AI15" s="12"/>
      <c r="AJ15" s="25" t="s">
        <v>28</v>
      </c>
      <c r="AK15" s="20">
        <f>SUM(AK13:AK14)</f>
        <v>29857.71</v>
      </c>
      <c r="AL15" s="12"/>
      <c r="AM15" s="12">
        <f>+AB4*AN15</f>
        <v>12750</v>
      </c>
      <c r="AN15" s="18">
        <v>0.15</v>
      </c>
      <c r="AR15" s="12"/>
      <c r="AS15" s="12"/>
      <c r="AT15" s="12"/>
      <c r="AU15" s="12"/>
      <c r="AV15" s="12">
        <v>36856</v>
      </c>
      <c r="AW15" s="110">
        <v>0.28838000000000003</v>
      </c>
      <c r="AX15" s="12">
        <f>ROUND(AW15*AV15,2)</f>
        <v>10628.53</v>
      </c>
      <c r="AY15" s="12"/>
    </row>
    <row r="16" spans="1:57" ht="15.75" x14ac:dyDescent="0.25">
      <c r="A16" s="5" t="s">
        <v>7</v>
      </c>
      <c r="B16" s="6"/>
      <c r="C16" s="6"/>
      <c r="D16" s="6">
        <v>1600</v>
      </c>
      <c r="E16" s="6"/>
      <c r="F16" s="22"/>
      <c r="J16" t="s">
        <v>118</v>
      </c>
      <c r="K16" s="12"/>
      <c r="L16" s="102">
        <f>(N4+N5)*L14</f>
        <v>2660.0000000000005</v>
      </c>
      <c r="M16" s="103">
        <f>(N15+N16)*M14</f>
        <v>3825</v>
      </c>
      <c r="N16" s="12">
        <f>+N5</f>
        <v>7500</v>
      </c>
      <c r="O16" s="12"/>
      <c r="P16" s="12"/>
      <c r="Q16" s="12"/>
      <c r="R16" s="12"/>
      <c r="S16" s="12"/>
      <c r="T16" s="12"/>
      <c r="U16" s="12"/>
      <c r="V16" s="12"/>
      <c r="W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19" t="s">
        <v>133</v>
      </c>
      <c r="AM16" s="12">
        <f>+AM15-AM14</f>
        <v>-13454</v>
      </c>
      <c r="AN16" t="s">
        <v>134</v>
      </c>
      <c r="AR16" s="12"/>
      <c r="AS16" s="12"/>
      <c r="AT16" s="12"/>
      <c r="AU16" s="12"/>
      <c r="AV16" s="12">
        <f>+AX14-AV15</f>
        <v>22535.75</v>
      </c>
      <c r="AW16" s="19">
        <v>0.45</v>
      </c>
      <c r="AX16" s="12">
        <f>ROUND(AW16*AV16,2)</f>
        <v>10141.09</v>
      </c>
      <c r="AY16" s="12"/>
    </row>
    <row r="17" spans="1:56" ht="16.5" thickBot="1" x14ac:dyDescent="0.3">
      <c r="A17" s="5" t="s">
        <v>11</v>
      </c>
      <c r="B17" s="112">
        <v>300</v>
      </c>
      <c r="C17" s="112">
        <v>4350</v>
      </c>
      <c r="D17" s="112"/>
      <c r="E17" s="112">
        <v>860</v>
      </c>
      <c r="F17" s="22"/>
      <c r="K17" s="12"/>
      <c r="L17" s="12"/>
      <c r="M17" s="30" t="s">
        <v>135</v>
      </c>
      <c r="O17" s="12"/>
      <c r="P17" s="12"/>
      <c r="Q17" s="12"/>
      <c r="R17" s="12"/>
      <c r="S17" s="12"/>
      <c r="T17" s="12"/>
      <c r="U17" s="12"/>
      <c r="V17" s="12"/>
      <c r="W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R17" s="12"/>
      <c r="AS17" s="12"/>
      <c r="AT17" s="12"/>
      <c r="AU17" s="12"/>
      <c r="AV17" s="12"/>
      <c r="AW17" s="25" t="s">
        <v>28</v>
      </c>
      <c r="AX17" s="20">
        <f>SUM(AX15:AX16)*AU14</f>
        <v>41539.240000000005</v>
      </c>
      <c r="AY17" s="131">
        <f>+AK15+U15</f>
        <v>41539.24</v>
      </c>
      <c r="AZ17" s="132" t="s">
        <v>127</v>
      </c>
    </row>
    <row r="18" spans="1:56" ht="15.75" x14ac:dyDescent="0.25">
      <c r="A18" s="5" t="s">
        <v>9</v>
      </c>
      <c r="B18" s="113">
        <v>920</v>
      </c>
      <c r="C18" s="6"/>
      <c r="D18" s="6"/>
      <c r="E18" s="6"/>
      <c r="F18" s="114">
        <f>SUM(B18:C18)*G18/(1+G18)</f>
        <v>172.03252032520328</v>
      </c>
      <c r="G18" s="18">
        <v>0.23</v>
      </c>
      <c r="K18" s="12"/>
      <c r="L18" s="12"/>
      <c r="M18" s="12"/>
      <c r="N18" s="12"/>
      <c r="O18" s="12"/>
      <c r="P18" s="12"/>
      <c r="Q18" s="12"/>
      <c r="R18" s="12" t="s">
        <v>109</v>
      </c>
      <c r="S18" s="12"/>
      <c r="T18" s="12"/>
      <c r="U18" s="12"/>
      <c r="V18" s="12"/>
      <c r="W18" s="12"/>
      <c r="AA18" s="12"/>
      <c r="AB18" s="12"/>
      <c r="AC18" s="12"/>
      <c r="AD18" s="12"/>
      <c r="AE18" s="12"/>
      <c r="AF18" s="12"/>
      <c r="AG18" s="12"/>
      <c r="AH18" s="12" t="s">
        <v>109</v>
      </c>
      <c r="AI18" s="12"/>
      <c r="AJ18" s="12"/>
      <c r="AK18" s="12"/>
      <c r="AL18" s="12"/>
      <c r="AM18" s="12"/>
      <c r="AR18" s="12"/>
      <c r="AS18" s="12"/>
      <c r="AT18" s="12"/>
      <c r="AU18" s="12"/>
      <c r="AV18" s="131" t="s">
        <v>109</v>
      </c>
      <c r="AW18" s="12"/>
      <c r="AX18" s="12"/>
      <c r="AY18" s="12"/>
      <c r="AZ18" s="12"/>
    </row>
    <row r="19" spans="1:56" ht="15.75" x14ac:dyDescent="0.25">
      <c r="A19" s="5" t="s">
        <v>10</v>
      </c>
      <c r="B19" s="112">
        <v>1260</v>
      </c>
      <c r="C19" s="6"/>
      <c r="D19" s="6"/>
      <c r="E19" s="6"/>
      <c r="F19" s="6"/>
      <c r="J19" t="s">
        <v>29</v>
      </c>
      <c r="K19" s="12"/>
      <c r="L19" s="12"/>
      <c r="M19" s="12"/>
      <c r="N19" s="12"/>
      <c r="O19" s="13" t="s">
        <v>18</v>
      </c>
      <c r="P19" s="13" t="s">
        <v>115</v>
      </c>
      <c r="Q19" s="13" t="s">
        <v>79</v>
      </c>
      <c r="R19" s="97" t="s">
        <v>116</v>
      </c>
      <c r="S19" s="94">
        <v>0.5</v>
      </c>
      <c r="T19" s="13" t="s">
        <v>81</v>
      </c>
      <c r="U19" s="12"/>
      <c r="V19" s="13" t="s">
        <v>34</v>
      </c>
      <c r="W19" s="13" t="s">
        <v>33</v>
      </c>
      <c r="X19" s="39" t="s">
        <v>43</v>
      </c>
      <c r="Z19" t="s">
        <v>29</v>
      </c>
      <c r="AA19" s="12"/>
      <c r="AB19" s="12"/>
      <c r="AC19" s="12"/>
      <c r="AD19" s="12"/>
      <c r="AE19" s="13" t="s">
        <v>18</v>
      </c>
      <c r="AF19" s="13" t="s">
        <v>115</v>
      </c>
      <c r="AG19" s="13" t="s">
        <v>79</v>
      </c>
      <c r="AH19" s="97" t="s">
        <v>116</v>
      </c>
      <c r="AI19" s="94">
        <v>0.5</v>
      </c>
      <c r="AJ19" s="13" t="s">
        <v>81</v>
      </c>
      <c r="AK19" s="12"/>
      <c r="AL19" s="13" t="s">
        <v>34</v>
      </c>
      <c r="AM19" s="13" t="s">
        <v>33</v>
      </c>
      <c r="AN19" s="39" t="s">
        <v>43</v>
      </c>
      <c r="AQ19" t="s">
        <v>29</v>
      </c>
      <c r="AR19" s="12"/>
      <c r="AS19" s="12"/>
      <c r="AT19" s="12"/>
      <c r="AU19" s="13" t="s">
        <v>80</v>
      </c>
      <c r="AV19" s="13" t="s">
        <v>79</v>
      </c>
      <c r="AW19" s="13" t="s">
        <v>81</v>
      </c>
      <c r="AX19" s="12"/>
      <c r="AY19" s="13" t="s">
        <v>34</v>
      </c>
      <c r="AZ19" s="13" t="s">
        <v>33</v>
      </c>
      <c r="BA19" s="39" t="s">
        <v>43</v>
      </c>
    </row>
    <row r="20" spans="1:56" ht="15.75" x14ac:dyDescent="0.25">
      <c r="A20" s="5" t="s">
        <v>12</v>
      </c>
      <c r="B20" s="112">
        <v>1250</v>
      </c>
      <c r="C20" s="112">
        <v>1360</v>
      </c>
      <c r="D20" s="6"/>
      <c r="E20" s="6"/>
      <c r="F20" s="6"/>
      <c r="J20" t="s">
        <v>30</v>
      </c>
      <c r="K20" s="12" t="s">
        <v>31</v>
      </c>
      <c r="L20" s="12"/>
      <c r="M20" s="12"/>
      <c r="N20" s="12"/>
      <c r="O20" s="12"/>
      <c r="P20" s="12"/>
      <c r="Q20" s="18"/>
      <c r="R20">
        <v>600</v>
      </c>
      <c r="S20" s="92">
        <f>+R20*S19</f>
        <v>300</v>
      </c>
      <c r="T20" s="12"/>
      <c r="U20" s="12">
        <f>+S20</f>
        <v>300</v>
      </c>
      <c r="V20" s="12"/>
      <c r="W20" s="12"/>
      <c r="Z20" t="s">
        <v>30</v>
      </c>
      <c r="AA20" s="12" t="s">
        <v>31</v>
      </c>
      <c r="AB20" s="12"/>
      <c r="AC20" s="12"/>
      <c r="AD20" s="12"/>
      <c r="AE20" s="12"/>
      <c r="AF20" s="12"/>
      <c r="AG20" s="18"/>
      <c r="AH20">
        <f>+R20</f>
        <v>600</v>
      </c>
      <c r="AI20" s="92">
        <f>+AH20*AI19</f>
        <v>300</v>
      </c>
      <c r="AJ20" s="12"/>
      <c r="AK20" s="12">
        <f>+AI20</f>
        <v>300</v>
      </c>
      <c r="AL20" s="12"/>
      <c r="AM20" s="12"/>
      <c r="AQ20" t="s">
        <v>30</v>
      </c>
      <c r="AR20" s="12" t="s">
        <v>31</v>
      </c>
      <c r="AS20" s="12"/>
      <c r="AT20" s="12"/>
      <c r="AU20" s="12"/>
      <c r="AV20" s="18"/>
      <c r="AW20" s="12"/>
      <c r="AX20" s="12">
        <v>600</v>
      </c>
      <c r="AY20" s="12"/>
      <c r="AZ20" s="12"/>
      <c r="BB20" s="139" t="s">
        <v>89</v>
      </c>
      <c r="BC20" s="139"/>
    </row>
    <row r="21" spans="1:56" ht="16.5" thickBot="1" x14ac:dyDescent="0.3">
      <c r="A21" s="5" t="s">
        <v>13</v>
      </c>
      <c r="B21" s="6"/>
      <c r="C21" s="112">
        <v>770</v>
      </c>
      <c r="D21" s="6"/>
      <c r="E21" s="6"/>
      <c r="F21" s="6"/>
      <c r="J21" t="s">
        <v>35</v>
      </c>
      <c r="K21" s="12" t="s">
        <v>32</v>
      </c>
      <c r="L21" s="12"/>
      <c r="M21" s="12"/>
      <c r="N21" s="12"/>
      <c r="O21" s="12">
        <f>SUM(B17:B22)</f>
        <v>3730</v>
      </c>
      <c r="P21" s="12"/>
      <c r="Q21" s="12"/>
      <c r="R21" s="12">
        <f>+E17+E12</f>
        <v>1010</v>
      </c>
      <c r="S21" s="92">
        <f>+R21*S19</f>
        <v>505</v>
      </c>
      <c r="T21" s="12">
        <f>+S21+O21</f>
        <v>4235</v>
      </c>
      <c r="U21" s="44">
        <f t="shared" ref="U21:U22" si="2">IF((T21*V21)&lt;W21,(T21*V21),W21)</f>
        <v>250</v>
      </c>
      <c r="V21" s="18">
        <v>0.35</v>
      </c>
      <c r="W21" s="12">
        <v>250</v>
      </c>
      <c r="Z21" t="s">
        <v>35</v>
      </c>
      <c r="AA21" s="12" t="s">
        <v>32</v>
      </c>
      <c r="AB21" s="12"/>
      <c r="AC21" s="12"/>
      <c r="AD21" s="12"/>
      <c r="AE21" s="12"/>
      <c r="AF21" s="12">
        <f>+C17+C20+C21+C22</f>
        <v>7370</v>
      </c>
      <c r="AG21" s="18"/>
      <c r="AH21" s="12">
        <f>+R21</f>
        <v>1010</v>
      </c>
      <c r="AI21" s="92">
        <f t="shared" ref="AI21:AI24" si="3">+S21</f>
        <v>505</v>
      </c>
      <c r="AJ21" s="12">
        <f>+AI21+AF21</f>
        <v>7875</v>
      </c>
      <c r="AK21" s="44">
        <f t="shared" ref="AK21:AK22" si="4">IF((AJ21*AL21)&lt;AM21,(AJ21*AL21),AM21)</f>
        <v>250</v>
      </c>
      <c r="AL21" s="18">
        <v>0.35</v>
      </c>
      <c r="AM21" s="12">
        <f>+W21</f>
        <v>250</v>
      </c>
      <c r="AQ21" t="s">
        <v>35</v>
      </c>
      <c r="AR21" s="12" t="s">
        <v>32</v>
      </c>
      <c r="AS21" s="12"/>
      <c r="AT21" s="12"/>
      <c r="AU21" s="12"/>
      <c r="AV21" s="18">
        <v>1</v>
      </c>
      <c r="AW21" s="12">
        <f>+B33</f>
        <v>12110</v>
      </c>
      <c r="AX21" s="44">
        <f t="shared" ref="AX21:AX22" si="5">IF(((AU21+(AV21*AW21))*AY21)&lt;AZ21,((AU21+(AV21*AW21))*AY21),AZ21)</f>
        <v>500</v>
      </c>
      <c r="AY21" s="18">
        <v>0.35</v>
      </c>
      <c r="AZ21" s="12">
        <v>500</v>
      </c>
      <c r="BB21" s="122">
        <f>+O21+R21+AF21</f>
        <v>12110</v>
      </c>
      <c r="BC21" s="123">
        <f>+BB21-AW21</f>
        <v>0</v>
      </c>
    </row>
    <row r="22" spans="1:56" ht="16.5" thickTop="1" x14ac:dyDescent="0.25">
      <c r="A22" s="5" t="s">
        <v>48</v>
      </c>
      <c r="B22" s="6"/>
      <c r="C22" s="113">
        <v>890</v>
      </c>
      <c r="E22" s="6"/>
      <c r="F22" s="114">
        <f>SUM(B22:C22)*G22/(1+G22)</f>
        <v>102.38938053097347</v>
      </c>
      <c r="G22" s="18">
        <v>0.13</v>
      </c>
      <c r="J22" t="s">
        <v>36</v>
      </c>
      <c r="K22" s="12" t="s">
        <v>37</v>
      </c>
      <c r="L22" s="12"/>
      <c r="M22" s="12"/>
      <c r="N22" s="12"/>
      <c r="O22" s="12">
        <f>+B13</f>
        <v>3700</v>
      </c>
      <c r="Q22" s="12"/>
      <c r="R22" s="12">
        <f>+E13</f>
        <v>560</v>
      </c>
      <c r="S22" s="92">
        <f>+R22*0.5</f>
        <v>280</v>
      </c>
      <c r="T22" s="12">
        <f>+S22+O22</f>
        <v>3980</v>
      </c>
      <c r="U22" s="12">
        <f t="shared" si="2"/>
        <v>500</v>
      </c>
      <c r="V22" s="18">
        <v>0.15</v>
      </c>
      <c r="W22" s="12">
        <v>500</v>
      </c>
      <c r="X22" s="25" t="s">
        <v>73</v>
      </c>
      <c r="Z22" t="s">
        <v>36</v>
      </c>
      <c r="AA22" s="12" t="s">
        <v>37</v>
      </c>
      <c r="AB22" s="12"/>
      <c r="AC22" s="12"/>
      <c r="AD22" s="12"/>
      <c r="AE22" s="12"/>
      <c r="AF22" s="12">
        <f>+C13</f>
        <v>690</v>
      </c>
      <c r="AG22" s="18"/>
      <c r="AH22" s="26">
        <f>+R22</f>
        <v>560</v>
      </c>
      <c r="AI22" s="92">
        <f t="shared" si="3"/>
        <v>280</v>
      </c>
      <c r="AJ22" s="12">
        <f>+AI22+AF22</f>
        <v>970</v>
      </c>
      <c r="AK22" s="12">
        <f t="shared" si="4"/>
        <v>145.5</v>
      </c>
      <c r="AL22" s="18">
        <v>0.15</v>
      </c>
      <c r="AM22" s="12">
        <f>+W22</f>
        <v>500</v>
      </c>
      <c r="AN22" s="25" t="s">
        <v>73</v>
      </c>
      <c r="AQ22" t="s">
        <v>36</v>
      </c>
      <c r="AR22" s="12" t="s">
        <v>37</v>
      </c>
      <c r="AS22" s="12"/>
      <c r="AT22" s="12"/>
      <c r="AU22" s="12"/>
      <c r="AV22" s="18">
        <f>+AV21</f>
        <v>1</v>
      </c>
      <c r="AW22" s="12">
        <f t="shared" ref="AW22:AW24" si="6">+B34</f>
        <v>4950</v>
      </c>
      <c r="AX22" s="12">
        <f t="shared" si="5"/>
        <v>742.5</v>
      </c>
      <c r="AY22" s="18">
        <v>0.15</v>
      </c>
      <c r="AZ22" s="12">
        <v>1000</v>
      </c>
      <c r="BB22" s="122">
        <f>+O22+R22+AF22</f>
        <v>4950</v>
      </c>
      <c r="BC22" s="123">
        <f t="shared" ref="BC22:BC28" si="7">+BB22-AW22</f>
        <v>0</v>
      </c>
    </row>
    <row r="23" spans="1:56" ht="15.75" x14ac:dyDescent="0.25">
      <c r="A23" s="5" t="s">
        <v>130</v>
      </c>
      <c r="B23" s="114"/>
      <c r="C23" s="114"/>
      <c r="D23" s="6"/>
      <c r="E23" s="6">
        <v>2000</v>
      </c>
      <c r="F23" s="6"/>
      <c r="J23" t="s">
        <v>39</v>
      </c>
      <c r="K23" s="12" t="s">
        <v>38</v>
      </c>
      <c r="L23" s="12"/>
      <c r="M23" s="30" t="s">
        <v>73</v>
      </c>
      <c r="N23" s="120">
        <v>2000</v>
      </c>
      <c r="O23" s="12"/>
      <c r="P23" s="12"/>
      <c r="Q23" s="12">
        <f>+N23*S19</f>
        <v>1000</v>
      </c>
      <c r="R23" s="12">
        <f>+E10+E11</f>
        <v>1700</v>
      </c>
      <c r="S23" s="92">
        <f>+R23*S19</f>
        <v>850</v>
      </c>
      <c r="T23" s="12">
        <f>+S23</f>
        <v>850</v>
      </c>
      <c r="U23" s="12">
        <f>(IF((T23*V23)&lt;W23,(T23*V23),W23))+(IF((Q23*X23)&lt;X23,(T23*V23),X23))</f>
        <v>405</v>
      </c>
      <c r="V23" s="18">
        <v>0.3</v>
      </c>
      <c r="W23" s="12">
        <v>400</v>
      </c>
      <c r="X23" s="12">
        <v>150</v>
      </c>
      <c r="Z23" t="s">
        <v>39</v>
      </c>
      <c r="AA23" s="12" t="s">
        <v>38</v>
      </c>
      <c r="AB23" s="12"/>
      <c r="AC23" s="30" t="str">
        <f>+M23</f>
        <v>renda</v>
      </c>
      <c r="AD23" s="12">
        <f>+N23</f>
        <v>2000</v>
      </c>
      <c r="AE23" s="12"/>
      <c r="AF23" s="12"/>
      <c r="AG23" s="136">
        <f>+Q23</f>
        <v>1000</v>
      </c>
      <c r="AH23" s="12">
        <f>+R23</f>
        <v>1700</v>
      </c>
      <c r="AI23" s="92">
        <f t="shared" si="3"/>
        <v>850</v>
      </c>
      <c r="AJ23" s="137">
        <f>+AI23</f>
        <v>850</v>
      </c>
      <c r="AK23" s="12">
        <f>(IF((AJ23*AL23)&lt;AM23,(AJ23*AL23),AM23))+(IF((AG23*AN23)&lt;AN23,(AJ23*AL23),AN23))</f>
        <v>405</v>
      </c>
      <c r="AL23" s="18">
        <v>0.3</v>
      </c>
      <c r="AM23" s="12">
        <f>+W23</f>
        <v>400</v>
      </c>
      <c r="AN23" s="12">
        <v>150</v>
      </c>
      <c r="AQ23" t="s">
        <v>39</v>
      </c>
      <c r="AR23" s="12" t="s">
        <v>38</v>
      </c>
      <c r="AS23" s="12"/>
      <c r="AT23" s="30" t="s">
        <v>73</v>
      </c>
      <c r="AU23" s="120">
        <v>2000</v>
      </c>
      <c r="AV23" s="18">
        <f>+AV22</f>
        <v>1</v>
      </c>
      <c r="AW23" s="12">
        <v>1700</v>
      </c>
      <c r="AX23" s="138">
        <f>IF(AU23*AY23&lt;300,AU23*AY23,BD23)+IF(AW23*AY23&lt;AZ23,AW23*AY23,800)</f>
        <v>810</v>
      </c>
      <c r="AY23" s="18">
        <v>0.3</v>
      </c>
      <c r="AZ23" s="12">
        <v>800</v>
      </c>
      <c r="BA23" s="1">
        <v>200</v>
      </c>
      <c r="BB23" s="122">
        <f>+N23+R23</f>
        <v>3700</v>
      </c>
      <c r="BC23" s="123">
        <f>+BB23-AW23-AU23</f>
        <v>0</v>
      </c>
      <c r="BD23">
        <v>300</v>
      </c>
    </row>
    <row r="24" spans="1:56" ht="15.75" x14ac:dyDescent="0.25">
      <c r="B24" s="6"/>
      <c r="C24" s="6"/>
      <c r="D24" s="6"/>
      <c r="E24" s="6"/>
      <c r="F24" s="6"/>
      <c r="J24" t="s">
        <v>41</v>
      </c>
      <c r="K24" s="12" t="s">
        <v>42</v>
      </c>
      <c r="L24" s="12"/>
      <c r="M24" s="12"/>
      <c r="N24" s="12"/>
      <c r="O24" s="12"/>
      <c r="P24" s="12"/>
      <c r="Q24" s="12">
        <f>+D16</f>
        <v>1600</v>
      </c>
      <c r="S24" s="92">
        <f>+Q24*S19</f>
        <v>800</v>
      </c>
      <c r="T24" s="12">
        <f>+S24</f>
        <v>800</v>
      </c>
      <c r="U24" s="12">
        <f t="shared" ref="U24:U26" si="8">IF((T24*V24)&lt;W24,(T24*V24),W24)</f>
        <v>120</v>
      </c>
      <c r="V24" s="18">
        <v>0.15</v>
      </c>
      <c r="W24" s="12">
        <v>148</v>
      </c>
      <c r="X24" s="12">
        <v>500</v>
      </c>
      <c r="Z24" t="s">
        <v>41</v>
      </c>
      <c r="AA24" s="12" t="s">
        <v>42</v>
      </c>
      <c r="AB24" s="12"/>
      <c r="AC24" s="12"/>
      <c r="AD24" s="12"/>
      <c r="AE24" s="12"/>
      <c r="AF24" s="12"/>
      <c r="AG24" s="18">
        <f>+Q24</f>
        <v>1600</v>
      </c>
      <c r="AI24" s="92">
        <f t="shared" si="3"/>
        <v>800</v>
      </c>
      <c r="AJ24" s="12">
        <f>+AI24</f>
        <v>800</v>
      </c>
      <c r="AK24" s="12">
        <f t="shared" ref="AK24:AK26" si="9">IF((AJ24*AL24)&lt;AM24,(AJ24*AL24),AM24)</f>
        <v>120</v>
      </c>
      <c r="AL24" s="18">
        <v>0.15</v>
      </c>
      <c r="AM24" s="12">
        <f>+W24</f>
        <v>148</v>
      </c>
      <c r="AN24" s="12">
        <v>500</v>
      </c>
      <c r="AQ24" t="s">
        <v>41</v>
      </c>
      <c r="AR24" s="12" t="s">
        <v>42</v>
      </c>
      <c r="AS24" s="12"/>
      <c r="AT24" s="12"/>
      <c r="AU24" s="12"/>
      <c r="AV24" s="18">
        <f>+AV23</f>
        <v>1</v>
      </c>
      <c r="AW24" s="12">
        <f t="shared" si="6"/>
        <v>1600</v>
      </c>
      <c r="AX24" s="12">
        <f>IF(((AU24+(AV24*AW24))*AY24)&lt;AZ24,((AU24+(AV24*AW24))*AY24),AZ24)</f>
        <v>240</v>
      </c>
      <c r="AY24" s="18">
        <v>0.15</v>
      </c>
      <c r="AZ24" s="12">
        <v>296</v>
      </c>
      <c r="BA24" s="1"/>
      <c r="BB24" s="122">
        <f>+Q24</f>
        <v>1600</v>
      </c>
      <c r="BC24" s="123">
        <f t="shared" si="7"/>
        <v>0</v>
      </c>
    </row>
    <row r="25" spans="1:56" ht="15.75" x14ac:dyDescent="0.25">
      <c r="A25" s="5"/>
      <c r="B25" s="6"/>
      <c r="C25" s="6"/>
      <c r="D25" s="6"/>
      <c r="E25" s="6"/>
      <c r="F25" s="6"/>
      <c r="J25" t="s">
        <v>46</v>
      </c>
      <c r="K25" s="12" t="s">
        <v>47</v>
      </c>
      <c r="N25" s="25"/>
      <c r="O25" s="12">
        <f>+B18+B22</f>
        <v>920</v>
      </c>
      <c r="Q25" s="88"/>
      <c r="S25" s="92"/>
      <c r="T25" s="12">
        <f>+F18</f>
        <v>172.03252032520328</v>
      </c>
      <c r="U25" s="12">
        <f>IF((T25*V25)&lt;W25,(T25*V25),W25)</f>
        <v>25.804878048780491</v>
      </c>
      <c r="V25" s="18">
        <v>0.15</v>
      </c>
      <c r="W25" s="12">
        <v>125</v>
      </c>
      <c r="Z25" t="s">
        <v>46</v>
      </c>
      <c r="AA25" s="12" t="s">
        <v>47</v>
      </c>
      <c r="AD25" s="25"/>
      <c r="AE25" s="25"/>
      <c r="AF25" s="12">
        <f>+C22</f>
        <v>890</v>
      </c>
      <c r="AG25" s="18"/>
      <c r="AI25" s="92"/>
      <c r="AJ25" s="12">
        <f>+F22</f>
        <v>102.38938053097347</v>
      </c>
      <c r="AK25" s="12">
        <f>IF((AJ25*AL25)&lt;AM25,(AJ25*AL25),AM25)</f>
        <v>15.358407079646019</v>
      </c>
      <c r="AL25" s="18">
        <v>0.15</v>
      </c>
      <c r="AM25" s="12">
        <f>+W25</f>
        <v>125</v>
      </c>
      <c r="AQ25" t="s">
        <v>46</v>
      </c>
      <c r="AR25" s="12" t="s">
        <v>47</v>
      </c>
      <c r="AT25" s="25" t="s">
        <v>136</v>
      </c>
      <c r="AU25" s="120">
        <f>+B37</f>
        <v>1810</v>
      </c>
      <c r="AV25" s="18">
        <f>+AV24</f>
        <v>1</v>
      </c>
      <c r="AW25" s="12">
        <f>+C37</f>
        <v>274.42190085617676</v>
      </c>
      <c r="AX25" s="12">
        <f>IF((AW25*AY25)&lt;AZ25,(AW25*AY25),AZ25)</f>
        <v>41.163285128426516</v>
      </c>
      <c r="AY25" s="18">
        <v>0.15</v>
      </c>
      <c r="AZ25" s="12">
        <v>250</v>
      </c>
      <c r="BB25" s="122">
        <f>+O25+AF25</f>
        <v>1810</v>
      </c>
      <c r="BC25" s="123">
        <f>+BB25-AU25</f>
        <v>0</v>
      </c>
    </row>
    <row r="26" spans="1:56" ht="15.75" x14ac:dyDescent="0.25">
      <c r="A26" s="5"/>
      <c r="B26" s="6"/>
      <c r="C26" s="6"/>
      <c r="D26" s="6"/>
      <c r="E26" s="6"/>
      <c r="F26" s="6"/>
      <c r="J26" t="s">
        <v>44</v>
      </c>
      <c r="K26" s="12" t="s">
        <v>45</v>
      </c>
      <c r="S26" s="92"/>
      <c r="T26" s="12">
        <f t="shared" ref="T26" si="10">+O26+(P26+Q26+R26)*S$19</f>
        <v>0</v>
      </c>
      <c r="U26" s="12">
        <f t="shared" si="8"/>
        <v>0</v>
      </c>
      <c r="V26" s="18">
        <v>0.2</v>
      </c>
      <c r="Z26" t="s">
        <v>44</v>
      </c>
      <c r="AA26" s="12" t="s">
        <v>45</v>
      </c>
      <c r="AF26" s="12"/>
      <c r="AG26" s="18"/>
      <c r="AI26" s="92"/>
      <c r="AJ26" s="12">
        <f t="shared" ref="AJ26:AJ27" si="11">AF26+(AG26+AH26)*AI$19</f>
        <v>0</v>
      </c>
      <c r="AK26" s="12">
        <f t="shared" si="9"/>
        <v>0</v>
      </c>
      <c r="AL26" s="18">
        <v>0.2</v>
      </c>
      <c r="AQ26" t="s">
        <v>44</v>
      </c>
      <c r="AR26" s="12" t="s">
        <v>45</v>
      </c>
      <c r="AY26" s="18">
        <v>0.2</v>
      </c>
      <c r="BB26" s="122"/>
      <c r="BC26" s="123"/>
    </row>
    <row r="27" spans="1:56" ht="15.75" x14ac:dyDescent="0.25">
      <c r="A27" s="5"/>
      <c r="B27" s="6"/>
      <c r="C27" s="6"/>
      <c r="D27" s="6"/>
      <c r="E27" s="6"/>
      <c r="F27" s="6"/>
      <c r="J27" t="s">
        <v>49</v>
      </c>
      <c r="K27" s="12" t="s">
        <v>50</v>
      </c>
      <c r="O27" s="12"/>
      <c r="Q27" s="88"/>
      <c r="S27" s="92"/>
      <c r="T27" s="12">
        <f>+O27</f>
        <v>0</v>
      </c>
      <c r="U27" s="12">
        <f>IF((O27*V27)&lt;W27,(O27*V27),W27)</f>
        <v>0</v>
      </c>
      <c r="V27" s="18">
        <v>0.25</v>
      </c>
      <c r="W27" s="12">
        <f>403.75/2</f>
        <v>201.875</v>
      </c>
      <c r="Z27" t="s">
        <v>49</v>
      </c>
      <c r="AA27" s="12" t="s">
        <v>50</v>
      </c>
      <c r="AF27" s="12"/>
      <c r="AG27" s="18"/>
      <c r="AI27" s="92"/>
      <c r="AJ27" s="12">
        <f t="shared" si="11"/>
        <v>0</v>
      </c>
      <c r="AK27" s="12">
        <f>IF((AE27*AL27)&lt;AM27,(AE27*AL27),AM27)</f>
        <v>0</v>
      </c>
      <c r="AL27" s="18">
        <v>0.25</v>
      </c>
      <c r="AM27" s="12">
        <f>+W27</f>
        <v>201.875</v>
      </c>
      <c r="AQ27" t="s">
        <v>49</v>
      </c>
      <c r="AR27" s="12" t="s">
        <v>50</v>
      </c>
      <c r="AV27" s="18">
        <f>+AV25</f>
        <v>1</v>
      </c>
      <c r="AW27" s="12">
        <f>+O27</f>
        <v>0</v>
      </c>
      <c r="AX27" s="12">
        <f t="shared" ref="AX27" si="12">IF(((AU27+(AV27*AW27))*AY27)&lt;AZ27,((AU27+(AV27*AW27))*AY27),AZ27)</f>
        <v>0</v>
      </c>
      <c r="AY27" s="18">
        <v>0.25</v>
      </c>
      <c r="AZ27" s="12">
        <v>403.75</v>
      </c>
      <c r="BB27" s="122">
        <f>+O27+AF27</f>
        <v>0</v>
      </c>
      <c r="BC27" s="123">
        <f t="shared" si="7"/>
        <v>0</v>
      </c>
    </row>
    <row r="28" spans="1:56" ht="15.75" x14ac:dyDescent="0.25">
      <c r="A28" s="5"/>
      <c r="B28" s="6"/>
      <c r="C28" s="6"/>
      <c r="D28" s="6"/>
      <c r="E28" s="6"/>
      <c r="F28" s="6"/>
      <c r="J28" s="95" t="s">
        <v>52</v>
      </c>
      <c r="K28" s="35" t="s">
        <v>53</v>
      </c>
      <c r="L28" s="95"/>
      <c r="M28" s="95" t="s">
        <v>54</v>
      </c>
      <c r="N28" s="96" t="s">
        <v>110</v>
      </c>
      <c r="O28" s="121" t="s">
        <v>84</v>
      </c>
      <c r="P28" s="95"/>
      <c r="Q28" s="95"/>
      <c r="R28" s="95"/>
      <c r="S28" s="96"/>
      <c r="T28" s="95"/>
      <c r="U28">
        <v>0</v>
      </c>
      <c r="V28" s="12"/>
      <c r="Z28" s="95" t="s">
        <v>52</v>
      </c>
      <c r="AA28" s="35" t="s">
        <v>53</v>
      </c>
      <c r="AB28" s="95"/>
      <c r="AC28" s="95" t="s">
        <v>117</v>
      </c>
      <c r="AD28" s="95" t="s">
        <v>83</v>
      </c>
      <c r="AE28" s="95"/>
      <c r="AF28" s="35">
        <v>1500</v>
      </c>
      <c r="AG28" s="35"/>
      <c r="AH28" s="35"/>
      <c r="AI28" s="98"/>
      <c r="AJ28" s="35">
        <f>AF28+(AG28+AH28)*AI$19</f>
        <v>1500</v>
      </c>
      <c r="AK28" s="12">
        <f>IF(AJ28*AL28&lt;350,AJ28*AL28,350)</f>
        <v>300</v>
      </c>
      <c r="AL28" s="18">
        <v>0.2</v>
      </c>
      <c r="AM28" s="12">
        <v>350</v>
      </c>
      <c r="AQ28" s="95" t="s">
        <v>52</v>
      </c>
      <c r="AR28" s="35" t="s">
        <v>53</v>
      </c>
      <c r="AS28" s="95"/>
      <c r="AT28" s="130" t="s">
        <v>83</v>
      </c>
      <c r="AU28" s="95">
        <v>1500</v>
      </c>
      <c r="AV28" s="95"/>
      <c r="AW28" s="35">
        <f>+AU28</f>
        <v>1500</v>
      </c>
      <c r="AX28" s="12">
        <f>IF(AW28*AY28&lt;350,AW28*AY28,350)</f>
        <v>300</v>
      </c>
      <c r="AY28" s="18">
        <v>0.2</v>
      </c>
      <c r="AZ28" s="12">
        <v>350</v>
      </c>
      <c r="BB28" s="122">
        <f>AF28</f>
        <v>1500</v>
      </c>
      <c r="BC28" s="123">
        <f t="shared" si="7"/>
        <v>0</v>
      </c>
    </row>
    <row r="29" spans="1:56" ht="16.5" thickBot="1" x14ac:dyDescent="0.3">
      <c r="A29" s="5"/>
      <c r="B29" s="6"/>
      <c r="C29" s="6"/>
      <c r="D29" s="6"/>
      <c r="E29" s="6"/>
      <c r="F29" s="6"/>
      <c r="O29" s="39"/>
      <c r="P29" s="39"/>
      <c r="Q29" s="39"/>
      <c r="R29" s="25" t="s">
        <v>144</v>
      </c>
      <c r="S29" s="30"/>
      <c r="T29" s="135">
        <f>($B$39+(($C$39-$B$39)*(($E$39-U12)/($E$39-$D$39))))</f>
        <v>1845.2324300806267</v>
      </c>
      <c r="U29" s="21">
        <f>SUM(U22:U28)</f>
        <v>1050.8048780487804</v>
      </c>
      <c r="V29" s="117" t="s">
        <v>55</v>
      </c>
      <c r="W29" s="26"/>
      <c r="AG29" s="93"/>
      <c r="AH29" s="25" t="s">
        <v>144</v>
      </c>
      <c r="AJ29" s="135">
        <f>($B$39+(($C$39-$B$39)*(($E$39-AK12)/($E$39-$D$39))))</f>
        <v>1021.4652816489687</v>
      </c>
      <c r="AK29" s="21">
        <f>SUM(AK22:AK28)</f>
        <v>985.85840707964599</v>
      </c>
      <c r="AL29" s="120" t="s">
        <v>55</v>
      </c>
      <c r="AU29" s="25" t="s">
        <v>144</v>
      </c>
      <c r="AV29" s="25" t="s">
        <v>55</v>
      </c>
      <c r="AW29" s="127">
        <f>$B$39+(($C$39-$B$39)*(($E$39-AX14)/($E$39-$D$39)))</f>
        <v>1433.3488558647978</v>
      </c>
      <c r="AX29" s="21">
        <f>SUM(AX22:AX28)</f>
        <v>2133.6632851284267</v>
      </c>
      <c r="AY29" s="118"/>
      <c r="BB29" s="12"/>
      <c r="BC29" s="12"/>
    </row>
    <row r="30" spans="1:56" ht="15.75" x14ac:dyDescent="0.25">
      <c r="A30" s="5"/>
      <c r="B30" s="6"/>
      <c r="C30" s="6"/>
      <c r="D30" s="6"/>
      <c r="E30" s="6"/>
      <c r="F30" s="6"/>
      <c r="J30" t="s">
        <v>56</v>
      </c>
      <c r="K30" s="12" t="s">
        <v>57</v>
      </c>
      <c r="N30">
        <f>+L31*N31</f>
        <v>1900</v>
      </c>
      <c r="R30" s="18"/>
      <c r="S30" s="94"/>
      <c r="U30" s="12">
        <f>SUM(N30:T30)</f>
        <v>1900</v>
      </c>
      <c r="Z30" t="s">
        <v>56</v>
      </c>
      <c r="AA30" s="12" t="s">
        <v>57</v>
      </c>
      <c r="AG30" s="18"/>
      <c r="AH30" s="94"/>
      <c r="AI30" s="94"/>
      <c r="AK30" s="12">
        <f>SUM(AD30:AJ30)</f>
        <v>0</v>
      </c>
      <c r="AQ30" t="s">
        <v>56</v>
      </c>
      <c r="AR30" s="12" t="s">
        <v>57</v>
      </c>
      <c r="AT30">
        <v>1900</v>
      </c>
      <c r="AX30" s="12">
        <f>SUM(AT30:AW30)</f>
        <v>1900</v>
      </c>
      <c r="BB30" s="12"/>
      <c r="BC30" s="12"/>
    </row>
    <row r="31" spans="1:56" ht="15.75" x14ac:dyDescent="0.25">
      <c r="A31" s="5"/>
      <c r="B31" s="6"/>
      <c r="C31" s="6"/>
      <c r="D31" s="6"/>
      <c r="E31" s="6"/>
      <c r="F31" s="6"/>
      <c r="L31">
        <v>4</v>
      </c>
      <c r="N31">
        <v>475</v>
      </c>
      <c r="U31" s="12"/>
      <c r="AK31" s="12"/>
      <c r="AX31" s="12"/>
    </row>
    <row r="32" spans="1:56" ht="15.75" x14ac:dyDescent="0.25">
      <c r="A32" s="2"/>
      <c r="B32" s="3"/>
      <c r="C32" s="3"/>
      <c r="D32" s="3"/>
      <c r="E32" s="3"/>
      <c r="F32" s="3"/>
      <c r="T32" s="25" t="s">
        <v>58</v>
      </c>
      <c r="U32" s="24">
        <f>-U20-U21-U30-(IF(T29&lt;U29,T29,U29))</f>
        <v>-3500.8048780487807</v>
      </c>
      <c r="V32" s="12"/>
      <c r="W32" s="12"/>
      <c r="AJ32" s="25" t="s">
        <v>58</v>
      </c>
      <c r="AK32" s="24">
        <f>-AK20-AK21-AK30-(IF(AJ29&lt;AK29,AJ29,AK29))</f>
        <v>-1535.858407079646</v>
      </c>
      <c r="AL32" s="24"/>
      <c r="AW32" s="25" t="s">
        <v>58</v>
      </c>
      <c r="AX32" s="24">
        <f>-AX20-AX21-AX30-(IF(AW29&lt;AX29,AW29,AX29))</f>
        <v>-4433.3488558647978</v>
      </c>
      <c r="AY32" s="24"/>
    </row>
    <row r="33" spans="1:52" ht="16.5" x14ac:dyDescent="0.25">
      <c r="A33" s="115" t="s">
        <v>129</v>
      </c>
      <c r="B33" s="116">
        <f>SUM(B17:E22)+E12</f>
        <v>12110</v>
      </c>
      <c r="C33" s="3"/>
      <c r="D33" s="3"/>
      <c r="E33" s="3"/>
      <c r="F33" s="3"/>
      <c r="W33">
        <f>+T23*0.3</f>
        <v>255</v>
      </c>
    </row>
    <row r="34" spans="1:52" ht="16.5" x14ac:dyDescent="0.25">
      <c r="A34" s="115" t="s">
        <v>37</v>
      </c>
      <c r="B34" s="116">
        <f>SUM(B13:E13)</f>
        <v>4950</v>
      </c>
      <c r="C34" s="3"/>
      <c r="D34" s="3"/>
      <c r="E34" s="3"/>
      <c r="F34" s="3"/>
      <c r="T34" s="25" t="s">
        <v>141</v>
      </c>
      <c r="U34" s="12">
        <f>+U15+U32</f>
        <v>8180.72512195122</v>
      </c>
      <c r="W34">
        <f>+Q23*0.3</f>
        <v>300</v>
      </c>
      <c r="Z34" s="36" t="s">
        <v>86</v>
      </c>
      <c r="AB34" s="1" t="s">
        <v>19</v>
      </c>
      <c r="AC34" s="12" t="s">
        <v>87</v>
      </c>
      <c r="AG34" s="34">
        <v>0.1</v>
      </c>
      <c r="AH34" s="12">
        <f>+AM9</f>
        <v>500</v>
      </c>
      <c r="AI34" s="12"/>
      <c r="AK34" s="12">
        <f>+AH34*AG34</f>
        <v>50</v>
      </c>
      <c r="AQ34" s="36" t="s">
        <v>86</v>
      </c>
      <c r="AT34" s="133">
        <f>+AG34</f>
        <v>0.1</v>
      </c>
      <c r="AU34" s="12">
        <f>+AH34</f>
        <v>500</v>
      </c>
      <c r="AX34" s="12">
        <f>+AU34*AT34</f>
        <v>50</v>
      </c>
    </row>
    <row r="35" spans="1:52" ht="16.5" x14ac:dyDescent="0.25">
      <c r="A35" s="115" t="s">
        <v>38</v>
      </c>
      <c r="B35" s="116">
        <f>SUM(E10:E11)</f>
        <v>1700</v>
      </c>
      <c r="C35" s="116">
        <f>+E23</f>
        <v>2000</v>
      </c>
      <c r="D35" s="3"/>
      <c r="E35" s="3"/>
      <c r="F35" s="3"/>
      <c r="J35" s="36" t="s">
        <v>66</v>
      </c>
      <c r="U35" s="12"/>
      <c r="W35">
        <v>150</v>
      </c>
    </row>
    <row r="36" spans="1:52" ht="16.5" x14ac:dyDescent="0.25">
      <c r="A36" s="115" t="s">
        <v>42</v>
      </c>
      <c r="B36" s="116">
        <f>+D16</f>
        <v>1600</v>
      </c>
      <c r="C36" s="3"/>
      <c r="D36" s="3"/>
      <c r="E36" s="3"/>
      <c r="F36" s="3"/>
      <c r="J36" s="1" t="s">
        <v>21</v>
      </c>
      <c r="K36" s="12">
        <f>SUM(P4:P9)</f>
        <v>10460</v>
      </c>
      <c r="O36" s="34"/>
      <c r="P36" s="34">
        <v>0.28000000000000003</v>
      </c>
      <c r="R36" s="12">
        <f>+P10</f>
        <v>10460</v>
      </c>
      <c r="U36" s="12">
        <f>+R36*P36</f>
        <v>2928.8</v>
      </c>
      <c r="W36">
        <f>+W35+W33</f>
        <v>405</v>
      </c>
      <c r="AJ36" s="25" t="s">
        <v>141</v>
      </c>
      <c r="AK36" s="12">
        <f>+AK15+AK32+AK34</f>
        <v>28371.851592920353</v>
      </c>
      <c r="AW36" s="25" t="s">
        <v>141</v>
      </c>
      <c r="AX36" s="12">
        <f>+AX17+AX32+AX34</f>
        <v>37155.89114413521</v>
      </c>
    </row>
    <row r="37" spans="1:52" ht="16.5" x14ac:dyDescent="0.25">
      <c r="A37" s="115" t="s">
        <v>47</v>
      </c>
      <c r="B37" s="116">
        <f>+B18+C22</f>
        <v>1810</v>
      </c>
      <c r="C37" s="116">
        <f>+F18+F22</f>
        <v>274.42190085617676</v>
      </c>
      <c r="D37" s="3" t="s">
        <v>137</v>
      </c>
      <c r="E37" s="3"/>
      <c r="F37" s="3"/>
      <c r="R37" s="111"/>
      <c r="U37" s="12"/>
      <c r="Z37" s="36" t="s">
        <v>66</v>
      </c>
      <c r="AK37" s="12"/>
      <c r="AQ37" s="36" t="s">
        <v>66</v>
      </c>
      <c r="AX37" s="12"/>
    </row>
    <row r="38" spans="1:52" ht="15.75" x14ac:dyDescent="0.25">
      <c r="A38" s="2"/>
      <c r="B38" s="3"/>
      <c r="C38" s="3"/>
      <c r="D38" s="3"/>
      <c r="E38" s="3"/>
      <c r="F38" s="3"/>
      <c r="T38" s="46" t="s">
        <v>142</v>
      </c>
      <c r="U38" s="47">
        <f>+U36+U34</f>
        <v>11109.525121951221</v>
      </c>
      <c r="AQ38" s="1" t="s">
        <v>21</v>
      </c>
      <c r="AT38" s="18">
        <f>+P36</f>
        <v>0.28000000000000003</v>
      </c>
      <c r="AU38" s="12">
        <f>+AU11</f>
        <v>10460</v>
      </c>
      <c r="AX38" s="12">
        <f>+AU38*AT38</f>
        <v>2928.8</v>
      </c>
    </row>
    <row r="39" spans="1:52" ht="16.5" thickBot="1" x14ac:dyDescent="0.3">
      <c r="A39" s="2"/>
      <c r="B39" s="3">
        <v>1000</v>
      </c>
      <c r="C39" s="3">
        <v>2500</v>
      </c>
      <c r="D39" s="3">
        <v>7091</v>
      </c>
      <c r="E39" s="3">
        <v>80640</v>
      </c>
      <c r="F39" s="3"/>
      <c r="AU39" s="111"/>
      <c r="AX39" s="12"/>
    </row>
    <row r="40" spans="1:52" ht="15.75" x14ac:dyDescent="0.25">
      <c r="A40" s="2"/>
      <c r="B40" s="59"/>
      <c r="C40" s="52"/>
      <c r="D40" s="58" t="s">
        <v>121</v>
      </c>
      <c r="E40" s="52"/>
      <c r="F40" s="53"/>
      <c r="G40" s="52"/>
      <c r="H40" s="54"/>
      <c r="J40" t="s">
        <v>59</v>
      </c>
      <c r="U40" s="12"/>
      <c r="Z40" t="s">
        <v>59</v>
      </c>
      <c r="AK40" s="12"/>
      <c r="AW40" s="46" t="s">
        <v>142</v>
      </c>
      <c r="AX40" s="47">
        <f>+AX38+AX36</f>
        <v>40084.691144135213</v>
      </c>
    </row>
    <row r="41" spans="1:52" ht="16.5" x14ac:dyDescent="0.25">
      <c r="A41" s="27" t="s">
        <v>51</v>
      </c>
      <c r="B41" s="60" t="s">
        <v>122</v>
      </c>
      <c r="C41" s="37"/>
      <c r="D41" s="37"/>
      <c r="E41" s="37"/>
      <c r="F41" s="37"/>
      <c r="G41" s="37"/>
      <c r="H41" s="61"/>
      <c r="J41" s="1" t="s">
        <v>19</v>
      </c>
      <c r="K41" t="s">
        <v>124</v>
      </c>
      <c r="N41" s="34"/>
      <c r="O41" s="34"/>
      <c r="P41" s="34">
        <v>0.16500000000000001</v>
      </c>
      <c r="Q41" s="34"/>
      <c r="R41" s="12">
        <f>+L4*0.5</f>
        <v>7500</v>
      </c>
      <c r="S41" s="12"/>
      <c r="T41" s="12">
        <f>+R41*P41</f>
        <v>1237.5</v>
      </c>
      <c r="U41" s="12"/>
      <c r="Z41" s="1" t="s">
        <v>19</v>
      </c>
      <c r="AA41" t="s">
        <v>85</v>
      </c>
      <c r="AD41" s="34"/>
      <c r="AE41" s="34"/>
      <c r="AF41" s="34"/>
      <c r="AG41" s="34">
        <v>0.25</v>
      </c>
      <c r="AH41" s="12">
        <f>+AB4</f>
        <v>85000</v>
      </c>
      <c r="AI41" s="12"/>
      <c r="AJ41" s="12">
        <f>+AH41*AG41</f>
        <v>21250</v>
      </c>
      <c r="AK41" s="12"/>
      <c r="AQ41" t="s">
        <v>59</v>
      </c>
      <c r="AX41" s="12"/>
    </row>
    <row r="42" spans="1:52" ht="16.5" thickBot="1" x14ac:dyDescent="0.3">
      <c r="A42" s="28" t="s">
        <v>123</v>
      </c>
      <c r="B42" s="55"/>
      <c r="C42" s="56"/>
      <c r="D42" s="56"/>
      <c r="E42" s="56"/>
      <c r="F42" s="56"/>
      <c r="G42" s="56"/>
      <c r="H42" s="57"/>
      <c r="J42" s="1" t="s">
        <v>21</v>
      </c>
      <c r="K42" t="s">
        <v>65</v>
      </c>
      <c r="P42" s="34">
        <v>0.25</v>
      </c>
      <c r="Q42" s="34"/>
      <c r="R42" s="12">
        <f>+P4</f>
        <v>10800</v>
      </c>
      <c r="S42" s="12"/>
      <c r="T42" s="12">
        <f>+R42*P42</f>
        <v>2700</v>
      </c>
      <c r="U42" s="12"/>
      <c r="Z42" s="1"/>
      <c r="AG42" s="34"/>
      <c r="AH42" s="12"/>
      <c r="AI42" s="12"/>
      <c r="AJ42" s="12">
        <f>+AH42*AG42</f>
        <v>0</v>
      </c>
      <c r="AK42" s="12"/>
      <c r="AQ42" s="1" t="s">
        <v>19</v>
      </c>
      <c r="AR42" s="134" t="s">
        <v>124</v>
      </c>
      <c r="AT42" s="133">
        <f>+P41</f>
        <v>0.16500000000000001</v>
      </c>
      <c r="AU42" s="12">
        <f>+R41</f>
        <v>7500</v>
      </c>
      <c r="AV42" s="12"/>
      <c r="AW42" s="12">
        <f>+AU42*AT42</f>
        <v>1237.5</v>
      </c>
      <c r="AX42" s="12"/>
    </row>
    <row r="43" spans="1:52" x14ac:dyDescent="0.25">
      <c r="J43" s="1" t="s">
        <v>23</v>
      </c>
      <c r="K43" t="s">
        <v>60</v>
      </c>
      <c r="L43" t="s">
        <v>61</v>
      </c>
      <c r="N43" s="12">
        <f>+R43/14</f>
        <v>1857.1428571428571</v>
      </c>
      <c r="O43" s="12"/>
      <c r="P43" s="34">
        <v>6.8000000000000005E-2</v>
      </c>
      <c r="Q43" s="34"/>
      <c r="R43" s="12">
        <f>+T4</f>
        <v>26000</v>
      </c>
      <c r="S43" s="12"/>
      <c r="T43" s="35">
        <f>ROUNDDOWN(R43*P43,0)</f>
        <v>1768</v>
      </c>
      <c r="U43" s="12">
        <f>-SUM(T41:T43)</f>
        <v>-5705.5</v>
      </c>
      <c r="Z43" s="1"/>
      <c r="AG43" s="34"/>
      <c r="AH43" s="12"/>
      <c r="AI43" s="12"/>
      <c r="AJ43" s="35">
        <f>+AH43*AG43</f>
        <v>0</v>
      </c>
      <c r="AK43" s="12">
        <f>-SUM(AJ41:AJ43)</f>
        <v>-21250</v>
      </c>
      <c r="AQ43" s="1" t="s">
        <v>21</v>
      </c>
      <c r="AR43" s="134" t="s">
        <v>65</v>
      </c>
      <c r="AT43" s="133">
        <f>+P42</f>
        <v>0.25</v>
      </c>
      <c r="AU43" s="12">
        <f>+R42</f>
        <v>10800</v>
      </c>
      <c r="AV43" s="12"/>
      <c r="AW43" s="12">
        <f t="shared" ref="AW43:AW45" si="13">+AU43*AT43</f>
        <v>2700</v>
      </c>
      <c r="AX43" s="12"/>
    </row>
    <row r="44" spans="1:52" x14ac:dyDescent="0.25">
      <c r="AQ44" s="1" t="s">
        <v>23</v>
      </c>
      <c r="AR44" s="134" t="s">
        <v>60</v>
      </c>
      <c r="AS44" t="s">
        <v>61</v>
      </c>
      <c r="AT44" s="133">
        <f>+P43</f>
        <v>6.8000000000000005E-2</v>
      </c>
      <c r="AU44" s="12">
        <f>+R43</f>
        <v>26000</v>
      </c>
      <c r="AV44" s="12"/>
      <c r="AW44" s="12">
        <f t="shared" si="13"/>
        <v>1768.0000000000002</v>
      </c>
      <c r="AX44" s="12"/>
    </row>
    <row r="45" spans="1:52" ht="15.75" x14ac:dyDescent="0.25">
      <c r="T45" s="46" t="str">
        <f>IF(U45&lt;0,"IRS A REEMBOLSAR","IRS A PAGAR")</f>
        <v>IRS A PAGAR</v>
      </c>
      <c r="U45" s="47">
        <f>+U38+U43</f>
        <v>5404.0251219512211</v>
      </c>
      <c r="AJ45" s="46" t="str">
        <f>IF(AK45&lt;0,"IRS A REEMBOLSAR","IRS A PAGAR")</f>
        <v>IRS A PAGAR</v>
      </c>
      <c r="AK45" s="47">
        <f>+AK36+AK43</f>
        <v>7121.8515929203531</v>
      </c>
      <c r="AQ45" s="1" t="s">
        <v>19</v>
      </c>
      <c r="AR45" s="134" t="s">
        <v>85</v>
      </c>
      <c r="AT45" s="133">
        <f>+AG41</f>
        <v>0.25</v>
      </c>
      <c r="AU45" s="12">
        <f>+AH41</f>
        <v>85000</v>
      </c>
      <c r="AW45" s="12">
        <f t="shared" si="13"/>
        <v>21250</v>
      </c>
      <c r="AX45" s="12">
        <f>-SUM(AW42:AW45)</f>
        <v>-26955.5</v>
      </c>
      <c r="AY45" s="122">
        <f>+AK43+U43</f>
        <v>-26955.5</v>
      </c>
    </row>
    <row r="47" spans="1:52" x14ac:dyDescent="0.25">
      <c r="J47" s="36" t="s">
        <v>67</v>
      </c>
      <c r="U47" s="12"/>
      <c r="AY47" s="25" t="s">
        <v>90</v>
      </c>
      <c r="AZ47" s="12">
        <f>+U45</f>
        <v>5404.0251219512211</v>
      </c>
    </row>
    <row r="48" spans="1:52" x14ac:dyDescent="0.25">
      <c r="J48" s="1" t="s">
        <v>20</v>
      </c>
      <c r="K48" s="12">
        <f>+N4+N5</f>
        <v>9500</v>
      </c>
      <c r="N48" s="34">
        <v>0.28000000000000003</v>
      </c>
      <c r="O48" s="34"/>
      <c r="U48" s="12">
        <f>+N48*K48</f>
        <v>2660.0000000000005</v>
      </c>
      <c r="Z48" s="36" t="s">
        <v>67</v>
      </c>
      <c r="AK48" s="12"/>
      <c r="AY48" s="25" t="s">
        <v>91</v>
      </c>
      <c r="AZ48" s="12">
        <f>+AK45</f>
        <v>7121.8515929203531</v>
      </c>
    </row>
    <row r="49" spans="19:52" ht="16.5" thickBot="1" x14ac:dyDescent="0.3">
      <c r="AK49" s="12"/>
      <c r="AW49" s="46" t="str">
        <f>IF(AX49&lt;0,"IRS A REEMBOLSAR","IRS A PAGAR")</f>
        <v>IRS A PAGAR</v>
      </c>
      <c r="AX49" s="47">
        <f>+AX40+AX45</f>
        <v>13129.191144135213</v>
      </c>
      <c r="AY49" s="51">
        <f>+AX49-AZ49</f>
        <v>603.31442926363889</v>
      </c>
      <c r="AZ49" s="32">
        <f>SUM(AZ47:AZ48)</f>
        <v>12525.876714871574</v>
      </c>
    </row>
    <row r="50" spans="19:52" ht="15.75" thickTop="1" x14ac:dyDescent="0.25">
      <c r="T50" s="128" t="s">
        <v>140</v>
      </c>
      <c r="U50" s="24">
        <f>+U38+U48</f>
        <v>13769.525121951221</v>
      </c>
      <c r="V50" s="38">
        <f>+U50/U2</f>
        <v>0.17958298170135273</v>
      </c>
      <c r="AJ50" s="128" t="s">
        <v>140</v>
      </c>
      <c r="AK50" s="24">
        <f>+AK36+AK48</f>
        <v>28371.851592920353</v>
      </c>
      <c r="AL50" s="38">
        <f>+AK50/AK2</f>
        <v>0.28265854638027749</v>
      </c>
      <c r="AY50" s="11" t="str">
        <f>IF(AX49&lt;AZ50,"melhor TRIBUTAÇÃO CONJUNTA","melhor TRIBUTAÇÃO SEPARADA")</f>
        <v>melhor TRIBUTAÇÃO SEPARADA</v>
      </c>
    </row>
    <row r="52" spans="19:52" x14ac:dyDescent="0.25">
      <c r="U52" s="12"/>
      <c r="Z52" s="37"/>
      <c r="AK52" s="24"/>
      <c r="AL52" s="38"/>
    </row>
    <row r="53" spans="19:52" x14ac:dyDescent="0.25">
      <c r="S53" s="12"/>
      <c r="AK53" s="12"/>
      <c r="AQ53" s="36" t="s">
        <v>67</v>
      </c>
      <c r="AX53" s="12"/>
    </row>
    <row r="54" spans="19:52" x14ac:dyDescent="0.25">
      <c r="AQ54" s="1" t="s">
        <v>20</v>
      </c>
      <c r="AR54" s="12">
        <f>+K48</f>
        <v>9500</v>
      </c>
      <c r="AT54" s="133">
        <v>0.28000000000000003</v>
      </c>
      <c r="AX54" s="12">
        <f>+AT54*AR54</f>
        <v>2660.0000000000005</v>
      </c>
    </row>
    <row r="56" spans="19:52" x14ac:dyDescent="0.25">
      <c r="U56" s="12"/>
      <c r="AW56" s="128" t="s">
        <v>140</v>
      </c>
      <c r="AX56" s="24">
        <f>+AX40+AX54</f>
        <v>42744.691144135213</v>
      </c>
      <c r="AY56" s="38">
        <f>+AX56/AX2</f>
        <v>0.24142723041025255</v>
      </c>
    </row>
    <row r="73" spans="50:51" x14ac:dyDescent="0.25">
      <c r="AX73" s="12"/>
      <c r="AY73" s="13"/>
    </row>
  </sheetData>
  <mergeCells count="1">
    <mergeCell ref="BB20:BC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3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Enunciado</vt:lpstr>
      <vt:lpstr>Folha2</vt:lpstr>
      <vt:lpstr>Folha3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Rita Marques</cp:lastModifiedBy>
  <cp:lastPrinted>2018-03-18T10:12:49Z</cp:lastPrinted>
  <dcterms:created xsi:type="dcterms:W3CDTF">2015-09-20T14:19:09Z</dcterms:created>
  <dcterms:modified xsi:type="dcterms:W3CDTF">2020-04-12T16:17:53Z</dcterms:modified>
</cp:coreProperties>
</file>